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phlindert/Desktop/Lindert PP≠ xl files for gpih/"/>
    </mc:Choice>
  </mc:AlternateContent>
  <bookViews>
    <workbookView xWindow="600" yWindow="3240" windowWidth="24840" windowHeight="13280" tabRatio="500" activeTab="1"/>
  </bookViews>
  <sheets>
    <sheet name="Sources and notes" sheetId="1" r:id="rId1"/>
    <sheet name="Java vs. Britain" sheetId="2" r:id="rId2"/>
  </sheet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Z18" i="2" l="1"/>
  <c r="AZ21" i="2"/>
  <c r="AZ23" i="2"/>
  <c r="AZ31" i="2"/>
  <c r="AZ33" i="2"/>
  <c r="AZ36" i="2"/>
  <c r="AZ38" i="2"/>
  <c r="AZ42" i="2"/>
  <c r="BA13" i="2"/>
  <c r="BB13" i="2"/>
  <c r="BA21" i="2"/>
  <c r="BB21" i="2"/>
  <c r="BA22" i="2"/>
  <c r="J22" i="2"/>
  <c r="BB22" i="2"/>
  <c r="BA28" i="2"/>
  <c r="J28" i="2"/>
  <c r="BB28" i="2"/>
  <c r="BA31" i="2"/>
  <c r="BB31" i="2"/>
  <c r="BA33" i="2"/>
  <c r="BB33" i="2"/>
  <c r="BA36" i="2"/>
  <c r="BB36" i="2"/>
  <c r="BA38" i="2"/>
  <c r="BB38" i="2"/>
  <c r="BB42" i="2"/>
  <c r="BC42" i="2"/>
  <c r="AT18" i="2"/>
  <c r="AT21" i="2"/>
  <c r="AT23" i="2"/>
  <c r="AT31" i="2"/>
  <c r="AT33" i="2"/>
  <c r="AT36" i="2"/>
  <c r="AT38" i="2"/>
  <c r="AT42" i="2"/>
  <c r="AU13" i="2"/>
  <c r="AV13" i="2"/>
  <c r="AU21" i="2"/>
  <c r="AV21" i="2"/>
  <c r="AU22" i="2"/>
  <c r="AV22" i="2"/>
  <c r="AU28" i="2"/>
  <c r="AV28" i="2"/>
  <c r="AU31" i="2"/>
  <c r="AV31" i="2"/>
  <c r="AU33" i="2"/>
  <c r="AV33" i="2"/>
  <c r="AU36" i="2"/>
  <c r="AV36" i="2"/>
  <c r="AU38" i="2"/>
  <c r="AV38" i="2"/>
  <c r="AV42" i="2"/>
  <c r="AW42" i="2"/>
  <c r="AN18" i="2"/>
  <c r="AN21" i="2"/>
  <c r="AN23" i="2"/>
  <c r="AN31" i="2"/>
  <c r="AN33" i="2"/>
  <c r="AN36" i="2"/>
  <c r="AN38" i="2"/>
  <c r="AN42" i="2"/>
  <c r="AO13" i="2"/>
  <c r="AP13" i="2"/>
  <c r="AO21" i="2"/>
  <c r="AP21" i="2"/>
  <c r="AO22" i="2"/>
  <c r="AP22" i="2"/>
  <c r="AO28" i="2"/>
  <c r="AP28" i="2"/>
  <c r="AO31" i="2"/>
  <c r="AP31" i="2"/>
  <c r="AO33" i="2"/>
  <c r="AP33" i="2"/>
  <c r="AO36" i="2"/>
  <c r="AP36" i="2"/>
  <c r="AO38" i="2"/>
  <c r="AP38" i="2"/>
  <c r="AP42" i="2"/>
  <c r="AQ42" i="2"/>
  <c r="AH18" i="2"/>
  <c r="AH21" i="2"/>
  <c r="AH23" i="2"/>
  <c r="AH31" i="2"/>
  <c r="AH33" i="2"/>
  <c r="AH36" i="2"/>
  <c r="AH38" i="2"/>
  <c r="AH42" i="2"/>
  <c r="AI13" i="2"/>
  <c r="AJ13" i="2"/>
  <c r="AI21" i="2"/>
  <c r="AJ21" i="2"/>
  <c r="AI22" i="2"/>
  <c r="AJ22" i="2"/>
  <c r="AI28" i="2"/>
  <c r="AJ28" i="2"/>
  <c r="AI31" i="2"/>
  <c r="AJ31" i="2"/>
  <c r="AI33" i="2"/>
  <c r="AJ33" i="2"/>
  <c r="AI36" i="2"/>
  <c r="AJ36" i="2"/>
  <c r="AI38" i="2"/>
  <c r="AJ38" i="2"/>
  <c r="AJ42" i="2"/>
  <c r="AK42" i="2"/>
  <c r="AB18" i="2"/>
  <c r="AB21" i="2"/>
  <c r="AB23" i="2"/>
  <c r="AB31" i="2"/>
  <c r="AB33" i="2"/>
  <c r="AB36" i="2"/>
  <c r="AB38" i="2"/>
  <c r="AB42" i="2"/>
  <c r="AC13" i="2"/>
  <c r="AD13" i="2"/>
  <c r="AC21" i="2"/>
  <c r="AD21" i="2"/>
  <c r="AC22" i="2"/>
  <c r="AD22" i="2"/>
  <c r="AC28" i="2"/>
  <c r="AD28" i="2"/>
  <c r="AC31" i="2"/>
  <c r="AD31" i="2"/>
  <c r="AC33" i="2"/>
  <c r="AD33" i="2"/>
  <c r="AC36" i="2"/>
  <c r="AD36" i="2"/>
  <c r="AC38" i="2"/>
  <c r="AD38" i="2"/>
  <c r="AD42" i="2"/>
  <c r="AE42" i="2"/>
  <c r="V18" i="2"/>
  <c r="V21" i="2"/>
  <c r="V23" i="2"/>
  <c r="V31" i="2"/>
  <c r="V33" i="2"/>
  <c r="V36" i="2"/>
  <c r="V38" i="2"/>
  <c r="V42" i="2"/>
  <c r="W13" i="2"/>
  <c r="X13" i="2"/>
  <c r="W21" i="2"/>
  <c r="X21" i="2"/>
  <c r="W22" i="2"/>
  <c r="X22" i="2"/>
  <c r="W28" i="2"/>
  <c r="X28" i="2"/>
  <c r="W31" i="2"/>
  <c r="X31" i="2"/>
  <c r="W33" i="2"/>
  <c r="X33" i="2"/>
  <c r="W36" i="2"/>
  <c r="X36" i="2"/>
  <c r="W38" i="2"/>
  <c r="X38" i="2"/>
  <c r="X42" i="2"/>
  <c r="Y42" i="2"/>
  <c r="P18" i="2"/>
  <c r="P21" i="2"/>
  <c r="P23" i="2"/>
  <c r="P31" i="2"/>
  <c r="P33" i="2"/>
  <c r="P36" i="2"/>
  <c r="P38" i="2"/>
  <c r="P42" i="2"/>
  <c r="Q13" i="2"/>
  <c r="R13" i="2"/>
  <c r="Q21" i="2"/>
  <c r="R21" i="2"/>
  <c r="Q22" i="2"/>
  <c r="R22" i="2"/>
  <c r="Q28" i="2"/>
  <c r="R28" i="2"/>
  <c r="Q31" i="2"/>
  <c r="R31" i="2"/>
  <c r="Q33" i="2"/>
  <c r="R33" i="2"/>
  <c r="Q36" i="2"/>
  <c r="R36" i="2"/>
  <c r="Q38" i="2"/>
  <c r="R38" i="2"/>
  <c r="R42" i="2"/>
  <c r="S42" i="2"/>
  <c r="AW51" i="2"/>
  <c r="AS44" i="2"/>
  <c r="AS46" i="2"/>
  <c r="AS47" i="2"/>
  <c r="AV46" i="2"/>
  <c r="AV47" i="2"/>
  <c r="AW47" i="2"/>
  <c r="AW46" i="2"/>
  <c r="AW38" i="2"/>
  <c r="AW33" i="2"/>
  <c r="AW21" i="2"/>
  <c r="AA44" i="2"/>
  <c r="BC51" i="2"/>
  <c r="AA46" i="2"/>
  <c r="AA47" i="2"/>
  <c r="AD46" i="2"/>
  <c r="AD47" i="2"/>
  <c r="AE47" i="2"/>
  <c r="AE46" i="2"/>
  <c r="AE38" i="2"/>
  <c r="AE33" i="2"/>
  <c r="AE21" i="2"/>
  <c r="U44" i="2"/>
  <c r="U46" i="2"/>
  <c r="U47" i="2"/>
  <c r="X46" i="2"/>
  <c r="X47" i="2"/>
  <c r="Y47" i="2"/>
  <c r="Y46" i="2"/>
  <c r="Y38" i="2"/>
  <c r="Y33" i="2"/>
  <c r="Y21" i="2"/>
  <c r="AG44" i="2"/>
  <c r="AG46" i="2"/>
  <c r="AG47" i="2"/>
  <c r="AJ46" i="2"/>
  <c r="AJ47" i="2"/>
  <c r="AK47" i="2"/>
  <c r="AK46" i="2"/>
  <c r="AK38" i="2"/>
  <c r="AK33" i="2"/>
  <c r="AK21" i="2"/>
  <c r="AY44" i="2"/>
  <c r="C18" i="1"/>
  <c r="C11" i="1"/>
  <c r="C9" i="1"/>
  <c r="AY46" i="2"/>
  <c r="AY47" i="2"/>
  <c r="BB46" i="2"/>
  <c r="BB47" i="2"/>
  <c r="BC47" i="2"/>
  <c r="BC46" i="2"/>
  <c r="BC38" i="2"/>
  <c r="BC33" i="2"/>
  <c r="BC21" i="2"/>
  <c r="BB62" i="2"/>
  <c r="BB60" i="2"/>
  <c r="AU62" i="2"/>
  <c r="BC62" i="2"/>
  <c r="BD62" i="2"/>
  <c r="BB61" i="2"/>
  <c r="BC61" i="2"/>
  <c r="BD61" i="2"/>
  <c r="BC60" i="2"/>
  <c r="BD60" i="2"/>
  <c r="AT61" i="2"/>
  <c r="AT62" i="2"/>
  <c r="AS62" i="2"/>
  <c r="BB63" i="2"/>
  <c r="AU63" i="2"/>
  <c r="BC63" i="2"/>
  <c r="BD63" i="2"/>
  <c r="AT63" i="2"/>
  <c r="AS63" i="2"/>
  <c r="BB64" i="2"/>
  <c r="AU64" i="2"/>
  <c r="BC64" i="2"/>
  <c r="BD64" i="2"/>
  <c r="AT64" i="2"/>
  <c r="AS64" i="2"/>
  <c r="AU61" i="2"/>
  <c r="AS61" i="2"/>
  <c r="AM44" i="2"/>
  <c r="AM46" i="2"/>
  <c r="AM47" i="2"/>
  <c r="AP46" i="2"/>
  <c r="AP47" i="2"/>
  <c r="AQ47" i="2"/>
  <c r="AQ46" i="2"/>
  <c r="AQ38" i="2"/>
  <c r="AQ33" i="2"/>
  <c r="AQ21" i="2"/>
  <c r="R46" i="2"/>
  <c r="S21" i="2"/>
  <c r="O44" i="2"/>
  <c r="M28" i="2"/>
  <c r="L21" i="2"/>
  <c r="F10" i="2"/>
  <c r="F11" i="2"/>
  <c r="F12" i="2"/>
  <c r="F13" i="2"/>
  <c r="D14" i="2"/>
  <c r="F14" i="2"/>
  <c r="F15" i="2"/>
  <c r="F16" i="2"/>
  <c r="F17" i="2"/>
  <c r="F18" i="2"/>
  <c r="F19" i="2"/>
  <c r="F20" i="2"/>
  <c r="F21" i="2"/>
  <c r="F22" i="2"/>
  <c r="F23" i="2"/>
  <c r="F24" i="2"/>
  <c r="F25" i="2"/>
  <c r="F26" i="2"/>
  <c r="F27" i="2"/>
  <c r="F28" i="2"/>
  <c r="F29" i="2"/>
  <c r="F30" i="2"/>
  <c r="F38" i="2"/>
  <c r="F40" i="2"/>
  <c r="G38" i="2"/>
  <c r="G10" i="2"/>
  <c r="G11" i="2"/>
  <c r="G12" i="2"/>
  <c r="G13" i="2"/>
  <c r="G14" i="2"/>
  <c r="G15" i="2"/>
  <c r="G16" i="2"/>
  <c r="G17" i="2"/>
  <c r="G18" i="2"/>
  <c r="G19" i="2"/>
  <c r="G20" i="2"/>
  <c r="G21" i="2"/>
  <c r="G22" i="2"/>
  <c r="G23" i="2"/>
  <c r="G24" i="2"/>
  <c r="G25" i="2"/>
  <c r="G26" i="2"/>
  <c r="G27" i="2"/>
  <c r="G28" i="2"/>
  <c r="G29" i="2"/>
  <c r="G30" i="2"/>
  <c r="G9" i="2"/>
  <c r="O46" i="2"/>
  <c r="O47" i="2"/>
  <c r="R47" i="2"/>
  <c r="S47" i="2"/>
  <c r="S46" i="2"/>
  <c r="S38" i="2"/>
  <c r="S33" i="2"/>
  <c r="M38" i="2"/>
  <c r="L38" i="2"/>
  <c r="L28" i="2"/>
  <c r="M22" i="2"/>
  <c r="L22" i="2"/>
  <c r="M21" i="2"/>
  <c r="M13" i="2"/>
  <c r="L13" i="2"/>
  <c r="M40" i="2"/>
  <c r="L40" i="2"/>
  <c r="G40" i="2"/>
  <c r="F9" i="2"/>
</calcChain>
</file>

<file path=xl/sharedStrings.xml><?xml version="1.0" encoding="utf-8"?>
<sst xmlns="http://schemas.openxmlformats.org/spreadsheetml/2006/main" count="375" uniqueCount="163">
  <si>
    <t>Broadberry et al., British barebones</t>
    <phoneticPr fontId="0" type="noConversion"/>
  </si>
  <si>
    <t>Units per</t>
    <phoneticPr fontId="0" type="noConversion"/>
  </si>
  <si>
    <t>Unit</t>
    <phoneticPr fontId="0" type="noConversion"/>
  </si>
  <si>
    <t>Nutrients per day</t>
  </si>
  <si>
    <t>person-yr</t>
    <phoneticPr fontId="0" type="noConversion"/>
  </si>
  <si>
    <t>calories</t>
  </si>
  <si>
    <t>protein</t>
    <phoneticPr fontId="0" type="noConversion"/>
  </si>
  <si>
    <t>Calories</t>
  </si>
  <si>
    <t>Gms protein</t>
  </si>
  <si>
    <t>bread</t>
    <phoneticPr fontId="0" type="noConversion"/>
  </si>
  <si>
    <t>kg</t>
  </si>
  <si>
    <t>wheat flour</t>
  </si>
  <si>
    <t>wheat</t>
    <phoneticPr fontId="0" type="noConversion"/>
  </si>
  <si>
    <t>barley</t>
    <phoneticPr fontId="0" type="noConversion"/>
  </si>
  <si>
    <t>oats</t>
    <phoneticPr fontId="0" type="noConversion"/>
  </si>
  <si>
    <t>millet</t>
  </si>
  <si>
    <t>b'n flour</t>
  </si>
  <si>
    <t>corn flour</t>
  </si>
  <si>
    <t>buckwheat &amp; others</t>
    <phoneticPr fontId="0" type="noConversion"/>
  </si>
  <si>
    <t>rice</t>
  </si>
  <si>
    <t>gram</t>
  </si>
  <si>
    <t>soybeans</t>
    <phoneticPr fontId="0" type="noConversion"/>
  </si>
  <si>
    <t>beans/peas</t>
    <phoneticPr fontId="0" type="noConversion"/>
  </si>
  <si>
    <t>liters</t>
    <phoneticPr fontId="0" type="noConversion"/>
  </si>
  <si>
    <t>beef</t>
    <phoneticPr fontId="0" type="noConversion"/>
  </si>
  <si>
    <t>fish</t>
    <phoneticPr fontId="0" type="noConversion"/>
  </si>
  <si>
    <t>sake</t>
    <phoneticPr fontId="0" type="noConversion"/>
  </si>
  <si>
    <t>beer</t>
    <phoneticPr fontId="0" type="noConversion"/>
  </si>
  <si>
    <t>edible oil</t>
    <phoneticPr fontId="0" type="noConversion"/>
  </si>
  <si>
    <t>ghee</t>
  </si>
  <si>
    <t>butter</t>
    <phoneticPr fontId="0" type="noConversion"/>
  </si>
  <si>
    <t>cheese</t>
    <phoneticPr fontId="0" type="noConversion"/>
  </si>
  <si>
    <t>eggs</t>
    <phoneticPr fontId="0" type="noConversion"/>
  </si>
  <si>
    <t>piece</t>
  </si>
  <si>
    <t>soap</t>
  </si>
  <si>
    <t>cloth, cotton</t>
    <phoneticPr fontId="0" type="noConversion"/>
  </si>
  <si>
    <t>m</t>
  </si>
  <si>
    <t>linen</t>
    <phoneticPr fontId="0" type="noConversion"/>
  </si>
  <si>
    <t>candles</t>
  </si>
  <si>
    <t>lamp oil</t>
  </si>
  <si>
    <t>fuel "burning wood"</t>
    <phoneticPr fontId="0" type="noConversion"/>
  </si>
  <si>
    <t>M BTU</t>
  </si>
  <si>
    <t>sugar</t>
    <phoneticPr fontId="0" type="noConversion"/>
  </si>
  <si>
    <t>calories per day =</t>
  </si>
  <si>
    <r>
      <t xml:space="preserve">Commodity bundles from Pim de Zwart and Jan Luiten van Zanden. 2015. "Labor, Wages, and Living Standards in Java, 1680-1914." </t>
    </r>
    <r>
      <rPr>
        <i/>
        <sz val="12"/>
        <color theme="1"/>
        <rFont val="Calibri"/>
        <scheme val="minor"/>
      </rPr>
      <t>European Review of Economic History</t>
    </r>
    <r>
      <rPr>
        <sz val="12"/>
        <color theme="1"/>
        <rFont val="Calibri"/>
        <family val="2"/>
        <scheme val="minor"/>
      </rPr>
      <t xml:space="preserve"> 19, 3 (August): 215-34.</t>
    </r>
  </si>
  <si>
    <t>(1,000s)</t>
  </si>
  <si>
    <t>Price</t>
    <phoneticPr fontId="1" type="noConversion"/>
  </si>
  <si>
    <t>ratio</t>
    <phoneticPr fontId="1" type="noConversion"/>
  </si>
  <si>
    <t>Sugar (white, for.)</t>
    <phoneticPr fontId="1" type="noConversion"/>
  </si>
  <si>
    <t>Ratio</t>
    <phoneticPr fontId="1" type="noConversion"/>
  </si>
  <si>
    <t>£</t>
    <phoneticPr fontId="1" type="noConversion"/>
  </si>
  <si>
    <t>Nominal GDP, mill.£</t>
    <phoneticPr fontId="1" type="noConversion"/>
  </si>
  <si>
    <t>Pop'n in mill.</t>
    <phoneticPr fontId="1" type="noConversion"/>
  </si>
  <si>
    <t>GDP / cap, in £</t>
    <phoneticPr fontId="1" type="noConversion"/>
  </si>
  <si>
    <t>GDP / cap, in baskets</t>
    <phoneticPr fontId="1" type="noConversion"/>
  </si>
  <si>
    <t>P's, Batavia</t>
  </si>
  <si>
    <t>Cost, Java</t>
  </si>
  <si>
    <t>1820 (£)</t>
  </si>
  <si>
    <t>Centered 5-year averages were used for prices and GDP.</t>
  </si>
  <si>
    <t>The De Zwart - Van Zanden "subsistence basket"</t>
  </si>
  <si>
    <t>salt</t>
  </si>
  <si>
    <t>liter</t>
  </si>
  <si>
    <t>m sq</t>
  </si>
  <si>
    <t>MBTU</t>
  </si>
  <si>
    <t xml:space="preserve">fuel </t>
  </si>
  <si>
    <t>(dZ &amp; vZ "53")</t>
  </si>
  <si>
    <t>Orange = rates supplied by De Zwart and Van</t>
  </si>
  <si>
    <t xml:space="preserve">Zanden, different from rates in other sources.  </t>
  </si>
  <si>
    <t>Adjusted to dZ-vZ calorie rates to stay at 1,942 calories.</t>
  </si>
  <si>
    <t>total cost of basket, 1820</t>
  </si>
  <si>
    <t>Java</t>
  </si>
  <si>
    <t>Beans adjusted from liters to kg at 0.73 kg/lit.</t>
  </si>
  <si>
    <t>high thru 1822</t>
  </si>
  <si>
    <t>vs</t>
  </si>
  <si>
    <t>Madd Project</t>
  </si>
  <si>
    <t>£ = 112.53 gAg = 11.7418 guilders</t>
  </si>
  <si>
    <t>1870 (£)</t>
  </si>
  <si>
    <t>from</t>
  </si>
  <si>
    <t>to</t>
  </si>
  <si>
    <t>Guilders</t>
  </si>
  <si>
    <t>per £</t>
  </si>
  <si>
    <t>Nominal GDP</t>
  </si>
  <si>
    <t>£ = 114.20 gAg = 11.9376 guilders</t>
  </si>
  <si>
    <t>GDP  (mln £)</t>
  </si>
  <si>
    <t>GDP / capita  (£)</t>
  </si>
  <si>
    <t>Pop (mln)</t>
  </si>
  <si>
    <t>GB</t>
  </si>
  <si>
    <t>UK (B of E)</t>
  </si>
  <si>
    <t>GDP of</t>
  </si>
  <si>
    <t>E&amp;W</t>
  </si>
  <si>
    <t>Scot</t>
  </si>
  <si>
    <t>Ireland</t>
  </si>
  <si>
    <t>UK</t>
  </si>
  <si>
    <t>Nom GDP</t>
  </si>
  <si>
    <t>per capita</t>
  </si>
  <si>
    <t>Populations (Mitchell 1988).</t>
  </si>
  <si>
    <t>Assume nominal</t>
  </si>
  <si>
    <t>GDP/capita</t>
  </si>
  <si>
    <t>rose for GB in</t>
  </si>
  <si>
    <t xml:space="preserve">proportion to </t>
  </si>
  <si>
    <t>its rise for UK</t>
  </si>
  <si>
    <t>(Save columns, material below)</t>
  </si>
  <si>
    <t>total cost of basket, 1870</t>
  </si>
  <si>
    <t>total cost of basket, 1910</t>
  </si>
  <si>
    <t>1910 (£)</t>
  </si>
  <si>
    <t>[extrapolated]</t>
  </si>
  <si>
    <t>Nominal GDP, mill. fl</t>
  </si>
  <si>
    <t>£ = 276.4 gAg = 12.0806 guilders</t>
  </si>
  <si>
    <t>Gt Britain</t>
  </si>
  <si>
    <r>
      <t xml:space="preserve">Prices and costs, 1820, using </t>
    </r>
    <r>
      <rPr>
        <b/>
        <sz val="12"/>
        <rFont val="Arial"/>
      </rPr>
      <t>separate diets</t>
    </r>
    <r>
      <rPr>
        <sz val="12"/>
        <rFont val="Arial"/>
      </rPr>
      <t xml:space="preserve"> in Java and Britain</t>
    </r>
  </si>
  <si>
    <r>
      <t xml:space="preserve">Prices and costs, 1870, using </t>
    </r>
    <r>
      <rPr>
        <b/>
        <sz val="12"/>
        <rFont val="Arial"/>
      </rPr>
      <t>separate diets</t>
    </r>
    <r>
      <rPr>
        <sz val="12"/>
        <rFont val="Arial"/>
      </rPr>
      <t xml:space="preserve"> in Java and Britain</t>
    </r>
  </si>
  <si>
    <r>
      <t xml:space="preserve">Prices and costs, 1910, using </t>
    </r>
    <r>
      <rPr>
        <b/>
        <sz val="12"/>
        <rFont val="Arial"/>
      </rPr>
      <t>separate diets</t>
    </r>
    <r>
      <rPr>
        <sz val="12"/>
        <rFont val="Arial"/>
      </rPr>
      <t xml:space="preserve"> in Java and Britain</t>
    </r>
  </si>
  <si>
    <t>total cost of basket, 1850</t>
  </si>
  <si>
    <r>
      <t xml:space="preserve">Prices and costs, 1850, using </t>
    </r>
    <r>
      <rPr>
        <b/>
        <sz val="12"/>
        <rFont val="Arial"/>
      </rPr>
      <t>separate diets</t>
    </r>
    <r>
      <rPr>
        <sz val="12"/>
        <rFont val="Arial"/>
      </rPr>
      <t xml:space="preserve"> in Java and Britain</t>
    </r>
  </si>
  <si>
    <t>1850 (£)</t>
  </si>
  <si>
    <t>Prices, GB</t>
  </si>
  <si>
    <t>Cost, GB</t>
  </si>
  <si>
    <t>Java (mln fl.)</t>
  </si>
  <si>
    <t>£ = 114.76 gAg = 11.9436 guilders</t>
  </si>
  <si>
    <r>
      <t xml:space="preserve">Prices and costs, 1830, using </t>
    </r>
    <r>
      <rPr>
        <b/>
        <sz val="12"/>
        <rFont val="Arial"/>
      </rPr>
      <t>separate diets</t>
    </r>
    <r>
      <rPr>
        <sz val="12"/>
        <rFont val="Arial"/>
      </rPr>
      <t xml:space="preserve"> in Java and Britain</t>
    </r>
  </si>
  <si>
    <t>1830 (£)</t>
  </si>
  <si>
    <t>total cost of basket, 1830</t>
  </si>
  <si>
    <t>£ = 117.11 gAg = 12.0386 guilders</t>
  </si>
  <si>
    <t>is quite high.  Exchange rate issues</t>
  </si>
  <si>
    <t xml:space="preserve">can't explain all of it.  </t>
  </si>
  <si>
    <t>Price trough for rice and</t>
  </si>
  <si>
    <t xml:space="preserve">other goods.  </t>
  </si>
  <si>
    <t>GDP per capita, 1990$, =</t>
  </si>
  <si>
    <t>Java / Indonesia ratio of</t>
  </si>
  <si>
    <t xml:space="preserve">at the 1880 change of series.  </t>
  </si>
  <si>
    <t>Maddison Project</t>
  </si>
  <si>
    <t>Prices and costs, 1840, using separate diets in Java and Britain</t>
  </si>
  <si>
    <t>1840 (£)</t>
  </si>
  <si>
    <t>total cost of basket, 1840</t>
  </si>
  <si>
    <t>after the Maddison Project's adjustment</t>
  </si>
  <si>
    <t>of 0.821 = Java / Indonesia as of 1880.</t>
  </si>
  <si>
    <t>, or</t>
  </si>
  <si>
    <t>From Federico and Tena (2016) --</t>
  </si>
  <si>
    <t>Exchange rates between the guilder and the pound sterling are from Federico and Tena (2016).</t>
  </si>
  <si>
    <t>Java's nominal national product is that estimated by Jan Luiten van Zanden, and is downloadable both from the Maddison Project site and from gpih.ucdavis.edu.</t>
  </si>
  <si>
    <t>Note the note to this series explaining that as of 1880 it switches from covering Java to covering Indonesia.</t>
  </si>
  <si>
    <t xml:space="preserve">The note explains that as of 1880, the ratio of Javanese to Indonesian incomes per capita was 0.821. This ratio has been used here to adjust Java's GDP per capita, and thus GDP, for the 1890 and 1910 benchmarks.  </t>
  </si>
  <si>
    <r>
      <t>The Java price series are kindly supplied from Pim de Zwart, and underlie the De Zwart - Van Zanden (</t>
    </r>
    <r>
      <rPr>
        <i/>
        <sz val="12"/>
        <color theme="1"/>
        <rFont val="Calibri"/>
        <scheme val="minor"/>
      </rPr>
      <t>EREH</t>
    </r>
    <r>
      <rPr>
        <sz val="12"/>
        <color theme="1"/>
        <rFont val="Calibri"/>
        <family val="2"/>
        <scheme val="minor"/>
      </rPr>
      <t xml:space="preserve">, 2015) article.  </t>
    </r>
  </si>
  <si>
    <t xml:space="preserve">The British series on nominal national product and population are those for Great Britain up to 1870, from Broadberry et al. (2015).  Those for later years are from the Bank of England (GDP) and from Mitchell (1988) for population.  </t>
  </si>
  <si>
    <t>To continue the coverage of Great Britain for years after 1870, I assume that nominal GDP per capita rose in GB in proportion to its rise for the United Kingdom, with an implied adjustment to aggregate GDP.</t>
  </si>
  <si>
    <t>English prices are again from Clark, downloadable at gpih.ucdavis.edu, with some splicing from Federico and Tena (2016). The Clark file also gives the silver values of the pound sterling, to convert the silver prices back to pounds.</t>
  </si>
  <si>
    <t>The barebones bundle for Java is that presented in De Zwart and Van Zanden (2015, p. 227).</t>
  </si>
  <si>
    <t xml:space="preserve">Maddison Project ratios of income per capita are drawn from Bolt and Van Zanden site, for comparison with the ratios calculated here.  </t>
  </si>
  <si>
    <t>£ = 115.288 gAg = 12.0614 guilders</t>
  </si>
  <si>
    <t>The English bean price series per liter was multiplied by 0.73 to convert it to a price per kilogram, following a weight/volume ratio supplied by Jan Luiten van Zanden.</t>
  </si>
  <si>
    <t>Prices and costs, 1890, using separate diets in Java and Britain</t>
  </si>
  <si>
    <t>1890 (£)</t>
  </si>
  <si>
    <t>total cost of basket, 1890</t>
  </si>
  <si>
    <t>|</t>
  </si>
  <si>
    <t>Nominal income per capita</t>
  </si>
  <si>
    <t>£ = 159.0 gAg = 12.0946 guilders</t>
  </si>
  <si>
    <t xml:space="preserve">"Rich and poor before the Industrial Revolution: a comparison between Java and the Netherlands at the beginning of the 19th Century." </t>
  </si>
  <si>
    <r>
      <rPr>
        <i/>
        <sz val="12"/>
        <color theme="1"/>
        <rFont val="Calibri"/>
        <scheme val="minor"/>
      </rPr>
      <t>Explorations in Economic History</t>
    </r>
    <r>
      <rPr>
        <sz val="12"/>
        <color theme="1"/>
        <rFont val="Calibri"/>
        <family val="2"/>
        <scheme val="minor"/>
      </rPr>
      <t xml:space="preserve"> 40, 1 (January): 1-23.</t>
    </r>
  </si>
  <si>
    <t>For the Java GDP estimates across the nineteenth century, and for interpretations, see van Zanden, Jan Luiten. 2003.</t>
  </si>
  <si>
    <r>
      <t xml:space="preserve">Population of Java, from Peper, Bram. 1970. “Population growth in Java in the 19th century: A New Interpretation.” </t>
    </r>
    <r>
      <rPr>
        <i/>
        <sz val="12"/>
        <color theme="1"/>
        <rFont val="Calibri"/>
        <scheme val="minor"/>
      </rPr>
      <t>Population Studies</t>
    </r>
    <r>
      <rPr>
        <sz val="12"/>
        <color theme="1"/>
        <rFont val="Calibri"/>
        <family val="2"/>
        <scheme val="minor"/>
      </rPr>
      <t xml:space="preserve"> 24, 1 (March): 71-84 (specifically, from p. 72); with interpolations.</t>
    </r>
  </si>
  <si>
    <t xml:space="preserve"> --&gt;</t>
  </si>
  <si>
    <t>Lindert, nov2016</t>
  </si>
  <si>
    <t>Results used in Peter H. Lindert, “Purchasing Power Disparity before 1914,” NBER working paper 22896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</si>
</sst>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0.000"/>
    <numFmt numFmtId="167" formatCode="#,##0.0"/>
    <numFmt numFmtId="168" formatCode="#,##0.000"/>
  </numFmts>
  <fonts count="13" x14ac:knownFonts="1">
    <font>
      <sz val="12"/>
      <color theme="1"/>
      <name val="Calibri"/>
      <family val="2"/>
      <scheme val="minor"/>
    </font>
    <font>
      <i/>
      <sz val="12"/>
      <color theme="1"/>
      <name val="Calibri"/>
      <scheme val="minor"/>
    </font>
    <font>
      <sz val="12"/>
      <name val="Arial"/>
    </font>
    <font>
      <b/>
      <sz val="12"/>
      <color indexed="14"/>
      <name val="Arial"/>
    </font>
    <font>
      <b/>
      <sz val="12"/>
      <name val="Arial"/>
    </font>
    <font>
      <sz val="12"/>
      <color indexed="14"/>
      <name val="Arial"/>
    </font>
    <font>
      <sz val="12"/>
      <color rgb="FFFF0000"/>
      <name val="Arial"/>
    </font>
    <font>
      <sz val="12"/>
      <color indexed="8"/>
      <name val="Arial"/>
    </font>
    <font>
      <sz val="12"/>
      <color indexed="10"/>
      <name val="Arial"/>
    </font>
    <font>
      <u/>
      <sz val="12"/>
      <name val="Arial"/>
    </font>
    <font>
      <sz val="12"/>
      <color rgb="FFFF0000"/>
      <name val="Calibri"/>
      <family val="2"/>
      <scheme val="minor"/>
    </font>
    <font>
      <u/>
      <sz val="12"/>
      <color theme="10"/>
      <name val="Calibri"/>
      <family val="2"/>
      <scheme val="minor"/>
    </font>
    <font>
      <u/>
      <sz val="12"/>
      <color theme="11"/>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FFC000"/>
        <bgColor indexed="64"/>
      </patternFill>
    </fill>
    <fill>
      <patternFill patternType="solid">
        <fgColor rgb="FFFFC0D8"/>
        <bgColor indexed="64"/>
      </patternFill>
    </fill>
    <fill>
      <patternFill patternType="solid">
        <fgColor rgb="FF92D050"/>
        <bgColor indexed="64"/>
      </patternFill>
    </fill>
  </fills>
  <borders count="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11" fillId="0" borderId="0" applyNumberFormat="0" applyFill="0" applyBorder="0" applyAlignment="0" applyProtection="0"/>
    <xf numFmtId="0" fontId="12" fillId="0" borderId="0" applyNumberFormat="0" applyFill="0" applyBorder="0" applyAlignment="0" applyProtection="0"/>
  </cellStyleXfs>
  <cellXfs count="116">
    <xf numFmtId="0" fontId="0" fillId="0" borderId="0" xfId="0"/>
    <xf numFmtId="0" fontId="0" fillId="0" borderId="0" xfId="0" applyAlignment="1"/>
    <xf numFmtId="0" fontId="2" fillId="0" borderId="0" xfId="0" applyFont="1" applyAlignment="1"/>
    <xf numFmtId="0" fontId="3" fillId="0" borderId="0" xfId="0" applyFont="1" applyAlignment="1"/>
    <xf numFmtId="0" fontId="3" fillId="0" borderId="0" xfId="0" applyNumberFormat="1" applyFont="1" applyFill="1" applyBorder="1" applyAlignment="1" applyProtection="1"/>
    <xf numFmtId="0" fontId="4" fillId="0" borderId="0" xfId="0" applyFont="1" applyFill="1" applyAlignment="1"/>
    <xf numFmtId="0" fontId="6" fillId="0" borderId="0" xfId="0" applyFont="1" applyAlignment="1"/>
    <xf numFmtId="0" fontId="2" fillId="0" borderId="0" xfId="0" applyFont="1" applyFill="1" applyAlignment="1"/>
    <xf numFmtId="0" fontId="2" fillId="0" borderId="0" xfId="0" applyFont="1" applyAlignment="1">
      <alignment horizontal="right"/>
    </xf>
    <xf numFmtId="0" fontId="2" fillId="2" borderId="0" xfId="0" applyFont="1" applyFill="1" applyAlignment="1">
      <alignment horizontal="right"/>
    </xf>
    <xf numFmtId="0" fontId="2" fillId="0" borderId="1" xfId="0" applyFont="1" applyBorder="1" applyAlignment="1"/>
    <xf numFmtId="0" fontId="2" fillId="0" borderId="2" xfId="0" applyFont="1" applyBorder="1" applyAlignment="1"/>
    <xf numFmtId="0" fontId="2" fillId="0" borderId="0" xfId="0" applyFont="1" applyBorder="1" applyAlignment="1"/>
    <xf numFmtId="0" fontId="2" fillId="2" borderId="0" xfId="0" applyNumberFormat="1" applyFont="1" applyFill="1" applyBorder="1" applyAlignment="1" applyProtection="1">
      <alignment horizontal="right"/>
    </xf>
    <xf numFmtId="0" fontId="2" fillId="0" borderId="0" xfId="0" applyNumberFormat="1" applyFont="1" applyFill="1" applyBorder="1" applyAlignment="1" applyProtection="1">
      <alignment horizontal="right"/>
    </xf>
    <xf numFmtId="1" fontId="2" fillId="0" borderId="0" xfId="0" applyNumberFormat="1" applyFont="1" applyAlignment="1">
      <alignment horizontal="right"/>
    </xf>
    <xf numFmtId="1" fontId="2" fillId="0" borderId="0" xfId="0" applyNumberFormat="1" applyFont="1" applyAlignment="1"/>
    <xf numFmtId="0" fontId="2" fillId="0" borderId="0" xfId="0" applyNumberFormat="1" applyFont="1" applyFill="1" applyBorder="1" applyAlignment="1" applyProtection="1"/>
    <xf numFmtId="0" fontId="7" fillId="0" borderId="0" xfId="0" applyNumberFormat="1" applyFont="1" applyFill="1" applyBorder="1" applyAlignment="1" applyProtection="1"/>
    <xf numFmtId="1" fontId="2" fillId="0" borderId="0" xfId="0" applyNumberFormat="1" applyFont="1" applyFill="1" applyBorder="1" applyAlignment="1" applyProtection="1"/>
    <xf numFmtId="1" fontId="2" fillId="0" borderId="0" xfId="0" applyNumberFormat="1" applyFont="1" applyFill="1" applyAlignment="1"/>
    <xf numFmtId="164" fontId="2" fillId="0" borderId="0" xfId="0" applyNumberFormat="1" applyFont="1" applyFill="1" applyAlignment="1"/>
    <xf numFmtId="0" fontId="2" fillId="0" borderId="3" xfId="0" applyNumberFormat="1" applyFont="1" applyFill="1" applyBorder="1" applyAlignment="1" applyProtection="1"/>
    <xf numFmtId="0" fontId="2" fillId="0" borderId="3" xfId="0" applyFont="1" applyFill="1" applyBorder="1" applyAlignment="1"/>
    <xf numFmtId="1" fontId="2" fillId="0" borderId="3" xfId="0" applyNumberFormat="1" applyFont="1" applyFill="1" applyBorder="1" applyAlignment="1"/>
    <xf numFmtId="0" fontId="2" fillId="0" borderId="3" xfId="0" applyFont="1" applyBorder="1" applyAlignment="1"/>
    <xf numFmtId="3" fontId="2" fillId="0" borderId="0" xfId="0" applyNumberFormat="1" applyFont="1" applyFill="1" applyBorder="1" applyAlignment="1" applyProtection="1"/>
    <xf numFmtId="3" fontId="2" fillId="0" borderId="0" xfId="0" applyNumberFormat="1" applyFont="1" applyAlignment="1"/>
    <xf numFmtId="3" fontId="0" fillId="0" borderId="0" xfId="0" applyNumberFormat="1"/>
    <xf numFmtId="165" fontId="2" fillId="0" borderId="0" xfId="0" applyNumberFormat="1" applyFont="1" applyAlignment="1"/>
    <xf numFmtId="2" fontId="2" fillId="0" borderId="0" xfId="0" applyNumberFormat="1" applyFont="1" applyAlignment="1"/>
    <xf numFmtId="2" fontId="2" fillId="3" borderId="1" xfId="0" applyNumberFormat="1" applyFont="1" applyFill="1" applyBorder="1" applyAlignment="1"/>
    <xf numFmtId="165" fontId="2" fillId="3" borderId="4" xfId="0" applyNumberFormat="1" applyFont="1" applyFill="1" applyBorder="1" applyAlignment="1"/>
    <xf numFmtId="2" fontId="2" fillId="3" borderId="4" xfId="0" applyNumberFormat="1" applyFont="1" applyFill="1" applyBorder="1" applyAlignment="1"/>
    <xf numFmtId="2" fontId="2" fillId="3" borderId="5" xfId="0" applyNumberFormat="1" applyFont="1" applyFill="1" applyBorder="1" applyAlignment="1"/>
    <xf numFmtId="2" fontId="2" fillId="0" borderId="0" xfId="0" applyNumberFormat="1" applyFont="1" applyFill="1" applyBorder="1" applyAlignment="1" applyProtection="1">
      <alignment horizontal="right"/>
    </xf>
    <xf numFmtId="165" fontId="2" fillId="0" borderId="0" xfId="0" applyNumberFormat="1" applyFont="1" applyFill="1" applyBorder="1" applyAlignment="1" applyProtection="1">
      <alignment horizontal="right"/>
    </xf>
    <xf numFmtId="2" fontId="2" fillId="0" borderId="0" xfId="0" applyNumberFormat="1" applyFont="1" applyAlignment="1">
      <alignment horizontal="right"/>
    </xf>
    <xf numFmtId="0" fontId="8" fillId="0" borderId="0" xfId="0" applyFont="1" applyAlignment="1">
      <alignment horizontal="right"/>
    </xf>
    <xf numFmtId="166" fontId="2" fillId="0" borderId="0" xfId="0" applyNumberFormat="1" applyFont="1" applyAlignment="1"/>
    <xf numFmtId="0" fontId="7" fillId="0" borderId="0" xfId="0" applyFont="1" applyAlignment="1"/>
    <xf numFmtId="166" fontId="5" fillId="0" borderId="0" xfId="0" applyNumberFormat="1" applyFont="1" applyAlignment="1"/>
    <xf numFmtId="165" fontId="2" fillId="0" borderId="0" xfId="0" applyNumberFormat="1" applyFont="1" applyFill="1" applyAlignment="1"/>
    <xf numFmtId="166" fontId="2" fillId="0" borderId="0" xfId="0" applyNumberFormat="1" applyFont="1" applyFill="1" applyAlignment="1"/>
    <xf numFmtId="0" fontId="0" fillId="0" borderId="0" xfId="0" applyFill="1" applyAlignment="1"/>
    <xf numFmtId="166" fontId="5" fillId="0" borderId="0" xfId="0" applyNumberFormat="1" applyFont="1" applyFill="1" applyAlignment="1"/>
    <xf numFmtId="165" fontId="2" fillId="0" borderId="3" xfId="0" applyNumberFormat="1" applyFont="1" applyBorder="1" applyAlignment="1"/>
    <xf numFmtId="2" fontId="0" fillId="0" borderId="0" xfId="0" applyNumberFormat="1" applyAlignment="1"/>
    <xf numFmtId="165" fontId="0" fillId="0" borderId="0" xfId="0" applyNumberFormat="1" applyAlignment="1"/>
    <xf numFmtId="2" fontId="9" fillId="0" borderId="0" xfId="0" applyNumberFormat="1" applyFont="1" applyAlignment="1">
      <alignment horizontal="left"/>
    </xf>
    <xf numFmtId="164" fontId="2" fillId="0" borderId="0" xfId="0" applyNumberFormat="1" applyFont="1" applyAlignment="1">
      <alignment horizontal="right"/>
    </xf>
    <xf numFmtId="3" fontId="2" fillId="0" borderId="0" xfId="0" applyNumberFormat="1" applyFont="1" applyAlignment="1">
      <alignment horizontal="right"/>
    </xf>
    <xf numFmtId="165" fontId="2" fillId="0" borderId="0" xfId="0" applyNumberFormat="1" applyFont="1" applyAlignment="1">
      <alignment horizontal="right"/>
    </xf>
    <xf numFmtId="164" fontId="2" fillId="0" borderId="0" xfId="0" applyNumberFormat="1" applyFont="1" applyAlignment="1"/>
    <xf numFmtId="167" fontId="2" fillId="0" borderId="0" xfId="0" applyNumberFormat="1" applyFont="1" applyAlignment="1">
      <alignment horizontal="right"/>
    </xf>
    <xf numFmtId="167" fontId="2" fillId="0" borderId="0" xfId="0" applyNumberFormat="1" applyFont="1" applyAlignment="1"/>
    <xf numFmtId="2" fontId="2" fillId="0" borderId="0" xfId="0" applyNumberFormat="1" applyFont="1" applyFill="1" applyBorder="1" applyAlignment="1">
      <alignment horizontal="right"/>
    </xf>
    <xf numFmtId="168" fontId="5" fillId="0" borderId="0" xfId="0" applyNumberFormat="1" applyFont="1" applyAlignment="1"/>
    <xf numFmtId="166" fontId="2" fillId="0" borderId="6" xfId="0" applyNumberFormat="1" applyFont="1" applyFill="1" applyBorder="1" applyAlignment="1">
      <alignment horizontal="right"/>
    </xf>
    <xf numFmtId="166" fontId="2" fillId="0" borderId="6"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xf numFmtId="0" fontId="0" fillId="0" borderId="0" xfId="0" applyBorder="1" applyAlignment="1"/>
    <xf numFmtId="0" fontId="0" fillId="0" borderId="0" xfId="0" applyBorder="1"/>
    <xf numFmtId="0" fontId="2" fillId="4" borderId="0" xfId="0" applyFont="1" applyFill="1" applyAlignment="1"/>
    <xf numFmtId="0" fontId="4" fillId="4" borderId="0" xfId="0" applyFont="1" applyFill="1" applyAlignment="1"/>
    <xf numFmtId="0" fontId="0" fillId="4" borderId="0" xfId="0" applyFill="1" applyAlignment="1"/>
    <xf numFmtId="2" fontId="9" fillId="0" borderId="0" xfId="0" applyNumberFormat="1" applyFont="1" applyAlignment="1">
      <alignment horizontal="right"/>
    </xf>
    <xf numFmtId="1" fontId="2" fillId="0" borderId="1" xfId="0" applyNumberFormat="1" applyFont="1" applyBorder="1" applyAlignment="1"/>
    <xf numFmtId="165" fontId="2" fillId="0" borderId="4" xfId="0" applyNumberFormat="1" applyFont="1" applyBorder="1" applyAlignment="1"/>
    <xf numFmtId="0" fontId="2" fillId="0" borderId="4" xfId="0" applyFont="1" applyBorder="1" applyAlignment="1"/>
    <xf numFmtId="1" fontId="2" fillId="0" borderId="2" xfId="0" applyNumberFormat="1" applyFont="1" applyBorder="1" applyAlignment="1"/>
    <xf numFmtId="0" fontId="0" fillId="0" borderId="0" xfId="0" applyFill="1"/>
    <xf numFmtId="166" fontId="0" fillId="0" borderId="0" xfId="0" applyNumberFormat="1"/>
    <xf numFmtId="166" fontId="10" fillId="0" borderId="0" xfId="0" applyNumberFormat="1" applyFont="1"/>
    <xf numFmtId="0" fontId="10" fillId="0" borderId="0" xfId="0" applyFont="1" applyAlignment="1">
      <alignment horizontal="right"/>
    </xf>
    <xf numFmtId="166" fontId="10" fillId="0" borderId="0" xfId="0" applyNumberFormat="1" applyFont="1" applyAlignment="1">
      <alignment horizontal="right"/>
    </xf>
    <xf numFmtId="0" fontId="2" fillId="0" borderId="0" xfId="0" applyFont="1" applyAlignment="1">
      <alignment horizontal="center"/>
    </xf>
    <xf numFmtId="166" fontId="2" fillId="0" borderId="3" xfId="0" applyNumberFormat="1" applyFont="1" applyBorder="1" applyAlignment="1"/>
    <xf numFmtId="167" fontId="0" fillId="0" borderId="0" xfId="0" applyNumberFormat="1"/>
    <xf numFmtId="0" fontId="7" fillId="0" borderId="0" xfId="0" applyFont="1" applyFill="1" applyAlignment="1"/>
    <xf numFmtId="165" fontId="2" fillId="0" borderId="3" xfId="0" applyNumberFormat="1" applyFont="1" applyFill="1" applyBorder="1" applyAlignment="1"/>
    <xf numFmtId="166" fontId="2" fillId="0" borderId="3" xfId="0" applyNumberFormat="1" applyFont="1" applyFill="1" applyBorder="1" applyAlignment="1"/>
    <xf numFmtId="165" fontId="0" fillId="0" borderId="0" xfId="0" applyNumberFormat="1" applyFill="1" applyAlignment="1"/>
    <xf numFmtId="164" fontId="0" fillId="0" borderId="0" xfId="0" applyNumberFormat="1"/>
    <xf numFmtId="0" fontId="0" fillId="0" borderId="0" xfId="0" applyAlignment="1">
      <alignment horizontal="right"/>
    </xf>
    <xf numFmtId="164" fontId="1" fillId="0" borderId="0" xfId="0" applyNumberFormat="1" applyFont="1"/>
    <xf numFmtId="0" fontId="0" fillId="5" borderId="0" xfId="0" applyFill="1" applyAlignment="1">
      <alignment horizontal="right"/>
    </xf>
    <xf numFmtId="0" fontId="0" fillId="5" borderId="0" xfId="0" applyFill="1"/>
    <xf numFmtId="3" fontId="1" fillId="0" borderId="0" xfId="0" applyNumberFormat="1" applyFont="1"/>
    <xf numFmtId="0" fontId="0" fillId="6" borderId="0" xfId="0" applyFill="1"/>
    <xf numFmtId="2" fontId="9" fillId="0" borderId="0" xfId="0" applyNumberFormat="1" applyFont="1" applyFill="1" applyAlignment="1">
      <alignment horizontal="right"/>
    </xf>
    <xf numFmtId="164" fontId="2" fillId="0" borderId="0" xfId="0" applyNumberFormat="1" applyFont="1" applyFill="1" applyAlignment="1">
      <alignment horizontal="right"/>
    </xf>
    <xf numFmtId="2" fontId="2" fillId="0" borderId="0" xfId="0" applyNumberFormat="1" applyFont="1" applyFill="1" applyAlignment="1"/>
    <xf numFmtId="2" fontId="2" fillId="0" borderId="0" xfId="0" applyNumberFormat="1" applyFont="1" applyFill="1" applyAlignment="1">
      <alignment horizontal="right"/>
    </xf>
    <xf numFmtId="3" fontId="2" fillId="0" borderId="0" xfId="0" applyNumberFormat="1" applyFont="1" applyFill="1" applyAlignment="1">
      <alignment horizontal="right"/>
    </xf>
    <xf numFmtId="165" fontId="2" fillId="0" borderId="0" xfId="0" applyNumberFormat="1" applyFont="1" applyFill="1" applyAlignment="1">
      <alignment horizontal="right"/>
    </xf>
    <xf numFmtId="3" fontId="2" fillId="0" borderId="0" xfId="0" applyNumberFormat="1" applyFont="1" applyFill="1" applyAlignment="1"/>
    <xf numFmtId="167" fontId="2" fillId="0" borderId="0" xfId="0" applyNumberFormat="1" applyFont="1" applyFill="1" applyAlignment="1">
      <alignment horizontal="right"/>
    </xf>
    <xf numFmtId="167" fontId="2" fillId="0" borderId="0" xfId="0" applyNumberFormat="1" applyFont="1" applyFill="1" applyAlignment="1"/>
    <xf numFmtId="168" fontId="5" fillId="0" borderId="0" xfId="0" applyNumberFormat="1" applyFont="1" applyFill="1" applyAlignment="1"/>
    <xf numFmtId="0" fontId="10" fillId="0" borderId="0" xfId="0" applyFont="1" applyFill="1" applyAlignment="1">
      <alignment horizontal="right"/>
    </xf>
    <xf numFmtId="0" fontId="0" fillId="0" borderId="0" xfId="0" applyFill="1" applyBorder="1" applyAlignment="1"/>
    <xf numFmtId="166" fontId="10" fillId="0" borderId="0" xfId="0" applyNumberFormat="1" applyFont="1" applyFill="1" applyAlignment="1">
      <alignment horizontal="right"/>
    </xf>
    <xf numFmtId="167" fontId="0" fillId="0" borderId="3" xfId="0" applyNumberFormat="1" applyBorder="1"/>
    <xf numFmtId="0" fontId="10" fillId="0" borderId="0" xfId="0" applyFont="1"/>
    <xf numFmtId="0" fontId="0" fillId="0" borderId="0" xfId="0" applyFont="1"/>
    <xf numFmtId="3" fontId="0" fillId="0" borderId="0" xfId="0" applyNumberFormat="1" applyFont="1"/>
    <xf numFmtId="2" fontId="2" fillId="0" borderId="0" xfId="0" applyNumberFormat="1" applyFont="1" applyAlignment="1">
      <alignment horizontal="left"/>
    </xf>
    <xf numFmtId="2" fontId="2" fillId="0" borderId="0" xfId="0" applyNumberFormat="1" applyFont="1" applyFill="1" applyAlignment="1">
      <alignment horizontal="left"/>
    </xf>
    <xf numFmtId="166" fontId="10" fillId="0" borderId="0" xfId="0" applyNumberFormat="1" applyFont="1" applyFill="1"/>
    <xf numFmtId="0" fontId="10" fillId="0" borderId="0" xfId="0" applyFont="1" applyFill="1"/>
    <xf numFmtId="0" fontId="10" fillId="0" borderId="0" xfId="0" applyFont="1" applyAlignment="1">
      <alignment horizontal="center"/>
    </xf>
    <xf numFmtId="166" fontId="6" fillId="0" borderId="0" xfId="0" applyNumberFormat="1" applyFont="1" applyAlignment="1"/>
    <xf numFmtId="1" fontId="7" fillId="0" borderId="0" xfId="0" applyNumberFormat="1" applyFont="1" applyFill="1" applyAlignment="1"/>
    <xf numFmtId="0" fontId="2" fillId="0" borderId="0" xfId="0" applyFont="1"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7"/>
  <colors>
    <mruColors>
      <color rgb="FFFFC0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A2"/>
    </sheetView>
  </sheetViews>
  <sheetFormatPr baseColWidth="10" defaultRowHeight="16" x14ac:dyDescent="0.2"/>
  <cols>
    <col min="3" max="3" width="10.83203125" style="28"/>
  </cols>
  <sheetData>
    <row r="1" spans="1:3" x14ac:dyDescent="0.2">
      <c r="A1" t="s">
        <v>161</v>
      </c>
    </row>
    <row r="2" spans="1:3" x14ac:dyDescent="0.2">
      <c r="A2" t="s">
        <v>162</v>
      </c>
    </row>
    <row r="4" spans="1:3" x14ac:dyDescent="0.2">
      <c r="A4" t="s">
        <v>44</v>
      </c>
    </row>
    <row r="6" spans="1:3" x14ac:dyDescent="0.2">
      <c r="A6" t="s">
        <v>58</v>
      </c>
    </row>
    <row r="7" spans="1:3" x14ac:dyDescent="0.2">
      <c r="A7" t="s">
        <v>159</v>
      </c>
    </row>
    <row r="8" spans="1:3" x14ac:dyDescent="0.2">
      <c r="C8" s="28" t="s">
        <v>45</v>
      </c>
    </row>
    <row r="9" spans="1:3" x14ac:dyDescent="0.2">
      <c r="B9">
        <v>1820</v>
      </c>
      <c r="C9" s="28">
        <f>4499*(EXP(LN(5302/4499)/11)^5)</f>
        <v>4847.7015055118427</v>
      </c>
    </row>
    <row r="10" spans="1:3" x14ac:dyDescent="0.2">
      <c r="B10">
        <v>1830</v>
      </c>
      <c r="C10" s="28">
        <v>7005</v>
      </c>
    </row>
    <row r="11" spans="1:3" x14ac:dyDescent="0.2">
      <c r="B11">
        <v>1840</v>
      </c>
      <c r="C11" s="28">
        <f>9374*(EXP(LN(9392/9374)/10)^5)</f>
        <v>9382.9956836822621</v>
      </c>
    </row>
    <row r="12" spans="1:3" x14ac:dyDescent="0.2">
      <c r="B12">
        <v>1850</v>
      </c>
      <c r="C12" s="28">
        <v>9392</v>
      </c>
    </row>
    <row r="13" spans="1:3" x14ac:dyDescent="0.2">
      <c r="B13">
        <v>1860</v>
      </c>
      <c r="C13" s="28">
        <v>12514</v>
      </c>
    </row>
    <row r="14" spans="1:3" x14ac:dyDescent="0.2">
      <c r="B14">
        <v>1870</v>
      </c>
      <c r="C14" s="28">
        <v>16233</v>
      </c>
    </row>
    <row r="15" spans="1:3" x14ac:dyDescent="0.2">
      <c r="B15">
        <v>1880</v>
      </c>
      <c r="C15" s="28">
        <v>19541</v>
      </c>
    </row>
    <row r="16" spans="1:3" x14ac:dyDescent="0.2">
      <c r="B16">
        <v>1890</v>
      </c>
      <c r="C16" s="28">
        <v>23609</v>
      </c>
    </row>
    <row r="17" spans="1:4" x14ac:dyDescent="0.2">
      <c r="B17">
        <v>1900</v>
      </c>
      <c r="C17" s="28">
        <v>28386</v>
      </c>
    </row>
    <row r="18" spans="1:4" x14ac:dyDescent="0.2">
      <c r="B18">
        <v>1910</v>
      </c>
      <c r="C18" s="89">
        <f>C17*1.2</f>
        <v>34063.199999999997</v>
      </c>
      <c r="D18" t="s">
        <v>105</v>
      </c>
    </row>
    <row r="20" spans="1:4" x14ac:dyDescent="0.2">
      <c r="A20" t="s">
        <v>147</v>
      </c>
    </row>
    <row r="21" spans="1:4" x14ac:dyDescent="0.2">
      <c r="A21" t="s">
        <v>138</v>
      </c>
    </row>
    <row r="22" spans="1:4" x14ac:dyDescent="0.2">
      <c r="A22" t="s">
        <v>146</v>
      </c>
    </row>
    <row r="23" spans="1:4" x14ac:dyDescent="0.2">
      <c r="A23" t="s">
        <v>142</v>
      </c>
    </row>
    <row r="24" spans="1:4" x14ac:dyDescent="0.2">
      <c r="A24" t="s">
        <v>143</v>
      </c>
    </row>
    <row r="25" spans="1:4" x14ac:dyDescent="0.2">
      <c r="A25" t="s">
        <v>144</v>
      </c>
    </row>
    <row r="26" spans="1:4" s="106" customFormat="1" x14ac:dyDescent="0.2">
      <c r="A26" s="106" t="s">
        <v>145</v>
      </c>
      <c r="C26" s="107"/>
    </row>
    <row r="27" spans="1:4" s="106" customFormat="1" x14ac:dyDescent="0.2">
      <c r="A27" s="106" t="s">
        <v>149</v>
      </c>
      <c r="C27" s="107"/>
    </row>
    <row r="28" spans="1:4" x14ac:dyDescent="0.2">
      <c r="A28" t="s">
        <v>139</v>
      </c>
    </row>
    <row r="29" spans="1:4" x14ac:dyDescent="0.2">
      <c r="A29" t="s">
        <v>140</v>
      </c>
    </row>
    <row r="30" spans="1:4" x14ac:dyDescent="0.2">
      <c r="A30" t="s">
        <v>141</v>
      </c>
    </row>
    <row r="32" spans="1:4" x14ac:dyDescent="0.2">
      <c r="A32" t="s">
        <v>158</v>
      </c>
    </row>
    <row r="33" spans="1:1" x14ac:dyDescent="0.2">
      <c r="A33" t="s">
        <v>156</v>
      </c>
    </row>
    <row r="34" spans="1:1" x14ac:dyDescent="0.2">
      <c r="A34"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9"/>
  <sheetViews>
    <sheetView tabSelected="1" workbookViewId="0">
      <pane xSplit="3820" ySplit="4920" topLeftCell="F38" activePane="topRight"/>
      <selection sqref="A1:A2"/>
      <selection pane="topRight" activeCell="M2" sqref="M2"/>
      <selection pane="bottomLeft" activeCell="B57" sqref="B57"/>
      <selection pane="bottomRight" activeCell="J47" sqref="J47"/>
    </sheetView>
  </sheetViews>
  <sheetFormatPr baseColWidth="10" defaultRowHeight="16" x14ac:dyDescent="0.2"/>
  <cols>
    <col min="3" max="3" width="6.1640625" customWidth="1"/>
    <col min="8" max="8" width="4.83203125" customWidth="1"/>
    <col min="10" max="10" width="10.1640625" customWidth="1"/>
    <col min="11" max="11" width="6.33203125" customWidth="1"/>
    <col min="14" max="14" width="18.1640625" customWidth="1"/>
    <col min="15" max="15" width="15.6640625" customWidth="1"/>
    <col min="19" max="19" width="12.33203125" customWidth="1"/>
    <col min="20" max="20" width="4.83203125" customWidth="1"/>
    <col min="21" max="21" width="22.1640625" customWidth="1"/>
    <col min="22" max="22" width="13" customWidth="1"/>
    <col min="23" max="23" width="19.33203125" customWidth="1"/>
    <col min="24" max="24" width="12" customWidth="1"/>
    <col min="25" max="25" width="15.33203125" customWidth="1"/>
    <col min="26" max="26" width="4.83203125" customWidth="1"/>
    <col min="27" max="27" width="21.6640625" customWidth="1"/>
    <col min="28" max="28" width="10.83203125" customWidth="1"/>
    <col min="29" max="29" width="17.5" customWidth="1"/>
    <col min="30" max="30" width="10" customWidth="1"/>
    <col min="31" max="31" width="13.33203125" customWidth="1"/>
    <col min="32" max="32" width="4.83203125" customWidth="1"/>
    <col min="33" max="33" width="19.33203125" customWidth="1"/>
    <col min="34" max="34" width="10.6640625" customWidth="1"/>
    <col min="35" max="35" width="20.6640625" customWidth="1"/>
    <col min="36" max="37" width="10.6640625" customWidth="1"/>
    <col min="38" max="38" width="4.83203125" customWidth="1"/>
    <col min="39" max="39" width="19.83203125" customWidth="1"/>
    <col min="41" max="41" width="12.83203125" customWidth="1"/>
    <col min="43" max="43" width="12" customWidth="1"/>
    <col min="44" max="44" width="4.83203125" customWidth="1"/>
    <col min="45" max="45" width="21.83203125" customWidth="1"/>
    <col min="50" max="50" width="4.83203125" customWidth="1"/>
    <col min="51" max="51" width="24.5" customWidth="1"/>
    <col min="53" max="53" width="16.83203125" customWidth="1"/>
  </cols>
  <sheetData>
    <row r="1" spans="1:55" s="72" customFormat="1" x14ac:dyDescent="0.2">
      <c r="A1" t="s">
        <v>161</v>
      </c>
      <c r="BB1" s="72" t="s">
        <v>101</v>
      </c>
    </row>
    <row r="2" spans="1:55" x14ac:dyDescent="0.2">
      <c r="A2" t="s">
        <v>162</v>
      </c>
    </row>
    <row r="3" spans="1:55" x14ac:dyDescent="0.2">
      <c r="B3" s="2"/>
      <c r="C3" s="2"/>
      <c r="D3" s="2"/>
      <c r="E3" s="2"/>
      <c r="F3" s="2"/>
      <c r="G3" s="2"/>
      <c r="H3" s="2"/>
      <c r="I3" s="1"/>
      <c r="J3" s="2"/>
      <c r="K3" s="2"/>
      <c r="L3" s="2"/>
      <c r="M3" s="2"/>
      <c r="AZ3">
        <v>276.41716832207567</v>
      </c>
      <c r="BA3">
        <v>12.0806</v>
      </c>
    </row>
    <row r="4" spans="1:55" x14ac:dyDescent="0.2">
      <c r="B4" s="4" t="s">
        <v>59</v>
      </c>
      <c r="C4" s="2"/>
      <c r="D4" s="2"/>
      <c r="E4" s="2"/>
      <c r="F4" s="2"/>
      <c r="G4" s="2"/>
      <c r="H4" s="2"/>
      <c r="I4" s="2"/>
      <c r="J4" s="3" t="s">
        <v>0</v>
      </c>
      <c r="K4" s="2"/>
      <c r="L4" s="2"/>
      <c r="M4" s="2"/>
      <c r="O4" s="68">
        <v>1820</v>
      </c>
      <c r="P4" s="69"/>
      <c r="Q4" s="70"/>
      <c r="R4" s="70"/>
      <c r="S4" s="71">
        <v>1820</v>
      </c>
      <c r="T4" s="2"/>
      <c r="U4" s="68">
        <v>1830</v>
      </c>
      <c r="V4" s="69"/>
      <c r="W4" s="70"/>
      <c r="X4" s="70"/>
      <c r="Y4" s="71">
        <v>1830</v>
      </c>
      <c r="AA4" s="68">
        <v>1840</v>
      </c>
      <c r="AB4" s="69"/>
      <c r="AC4" s="70"/>
      <c r="AD4" s="70"/>
      <c r="AE4" s="71">
        <v>1840</v>
      </c>
      <c r="AG4" s="68">
        <v>1850</v>
      </c>
      <c r="AH4" s="69"/>
      <c r="AI4" s="70"/>
      <c r="AJ4" s="70"/>
      <c r="AK4" s="71">
        <v>1850</v>
      </c>
      <c r="AL4" s="2"/>
      <c r="AM4" s="68">
        <v>1870</v>
      </c>
      <c r="AN4" s="69"/>
      <c r="AO4" s="70"/>
      <c r="AP4" s="70"/>
      <c r="AQ4" s="71">
        <v>1870</v>
      </c>
      <c r="AS4" s="68">
        <v>1890</v>
      </c>
      <c r="AT4" s="69"/>
      <c r="AU4" s="70"/>
      <c r="AV4" s="70"/>
      <c r="AW4" s="71">
        <v>1890</v>
      </c>
      <c r="AY4" s="68">
        <v>1910</v>
      </c>
      <c r="AZ4" s="69"/>
      <c r="BA4" s="70"/>
      <c r="BB4" s="70"/>
      <c r="BC4" s="71">
        <v>1910</v>
      </c>
    </row>
    <row r="5" spans="1:55" x14ac:dyDescent="0.2">
      <c r="C5" s="4"/>
      <c r="D5" s="64" t="s">
        <v>66</v>
      </c>
      <c r="E5" s="65"/>
      <c r="F5" s="65"/>
      <c r="G5" s="65"/>
      <c r="H5" s="5"/>
      <c r="I5" s="5"/>
      <c r="J5" s="5"/>
      <c r="K5" s="5"/>
      <c r="L5" s="5"/>
      <c r="M5" s="5"/>
      <c r="O5" s="30"/>
      <c r="P5" s="29"/>
      <c r="Q5" s="77" t="s">
        <v>75</v>
      </c>
      <c r="R5" s="2"/>
      <c r="S5" s="2"/>
      <c r="T5" s="2"/>
      <c r="U5" s="30"/>
      <c r="V5" s="29"/>
      <c r="W5" s="77" t="s">
        <v>122</v>
      </c>
      <c r="X5" s="2"/>
      <c r="Y5" s="2"/>
      <c r="AA5" s="30"/>
      <c r="AB5" s="42"/>
      <c r="AC5" s="115" t="s">
        <v>148</v>
      </c>
      <c r="AD5" s="7"/>
      <c r="AE5" s="2"/>
      <c r="AG5" s="30"/>
      <c r="AH5" s="29"/>
      <c r="AI5" s="77" t="s">
        <v>118</v>
      </c>
      <c r="AJ5" s="2"/>
      <c r="AK5" s="2"/>
      <c r="AL5" s="2"/>
      <c r="AM5" s="30"/>
      <c r="AN5" s="29"/>
      <c r="AO5" s="77" t="s">
        <v>82</v>
      </c>
      <c r="AP5" s="2"/>
      <c r="AQ5" s="2"/>
      <c r="AS5" s="93"/>
      <c r="AT5" s="42"/>
      <c r="AU5" s="115" t="s">
        <v>155</v>
      </c>
      <c r="AV5" s="7"/>
      <c r="AW5" s="7"/>
      <c r="AY5" s="30"/>
      <c r="AZ5" s="29"/>
      <c r="BA5" s="77" t="s">
        <v>107</v>
      </c>
      <c r="BB5" s="2"/>
      <c r="BC5" s="2"/>
    </row>
    <row r="6" spans="1:55" x14ac:dyDescent="0.2">
      <c r="B6" s="6"/>
      <c r="C6" s="6"/>
      <c r="D6" s="64" t="s">
        <v>67</v>
      </c>
      <c r="E6" s="64"/>
      <c r="F6" s="64"/>
      <c r="G6" s="64"/>
      <c r="H6" s="7"/>
      <c r="I6" s="7"/>
      <c r="J6" s="66" t="s">
        <v>68</v>
      </c>
      <c r="K6" s="64"/>
      <c r="L6" s="64"/>
      <c r="M6" s="64"/>
      <c r="O6" s="31" t="s">
        <v>109</v>
      </c>
      <c r="P6" s="32"/>
      <c r="Q6" s="33"/>
      <c r="R6" s="33"/>
      <c r="S6" s="34"/>
      <c r="U6" s="31" t="s">
        <v>119</v>
      </c>
      <c r="V6" s="32"/>
      <c r="W6" s="33"/>
      <c r="X6" s="33"/>
      <c r="Y6" s="34"/>
      <c r="AA6" s="31" t="s">
        <v>131</v>
      </c>
      <c r="AB6" s="32"/>
      <c r="AC6" s="33"/>
      <c r="AD6" s="33"/>
      <c r="AE6" s="34"/>
      <c r="AG6" s="31" t="s">
        <v>113</v>
      </c>
      <c r="AH6" s="32"/>
      <c r="AI6" s="33"/>
      <c r="AJ6" s="33"/>
      <c r="AK6" s="34"/>
      <c r="AM6" s="31" t="s">
        <v>110</v>
      </c>
      <c r="AN6" s="32"/>
      <c r="AO6" s="33"/>
      <c r="AP6" s="33"/>
      <c r="AQ6" s="34"/>
      <c r="AS6" s="31" t="s">
        <v>150</v>
      </c>
      <c r="AT6" s="32"/>
      <c r="AU6" s="33"/>
      <c r="AV6" s="33"/>
      <c r="AW6" s="34"/>
      <c r="AY6" s="31" t="s">
        <v>111</v>
      </c>
      <c r="AZ6" s="32"/>
      <c r="BA6" s="33"/>
      <c r="BB6" s="33"/>
      <c r="BC6" s="34"/>
    </row>
    <row r="7" spans="1:55" x14ac:dyDescent="0.2">
      <c r="B7" s="8" t="s">
        <v>1</v>
      </c>
      <c r="C7" s="8"/>
      <c r="D7" s="9" t="s">
        <v>2</v>
      </c>
      <c r="E7" s="9" t="s">
        <v>2</v>
      </c>
      <c r="F7" s="10" t="s">
        <v>3</v>
      </c>
      <c r="G7" s="11"/>
      <c r="H7" s="12"/>
      <c r="I7" s="8"/>
      <c r="J7" s="8" t="s">
        <v>1</v>
      </c>
      <c r="K7" s="9"/>
      <c r="L7" s="12" t="s">
        <v>3</v>
      </c>
      <c r="M7" s="12"/>
      <c r="N7" s="35"/>
      <c r="O7" s="36" t="s">
        <v>57</v>
      </c>
      <c r="P7" s="8"/>
      <c r="Q7" s="37" t="s">
        <v>57</v>
      </c>
      <c r="R7" s="8"/>
      <c r="S7" s="38" t="s">
        <v>46</v>
      </c>
      <c r="U7" s="36" t="s">
        <v>120</v>
      </c>
      <c r="V7" s="8"/>
      <c r="W7" s="37" t="s">
        <v>120</v>
      </c>
      <c r="X7" s="8"/>
      <c r="Y7" s="38" t="s">
        <v>46</v>
      </c>
      <c r="AA7" s="36" t="s">
        <v>132</v>
      </c>
      <c r="AB7" s="8"/>
      <c r="AC7" s="37" t="s">
        <v>132</v>
      </c>
      <c r="AD7" s="8"/>
      <c r="AE7" s="38" t="s">
        <v>46</v>
      </c>
      <c r="AG7" s="36" t="s">
        <v>114</v>
      </c>
      <c r="AH7" s="8"/>
      <c r="AI7" s="37" t="s">
        <v>114</v>
      </c>
      <c r="AJ7" s="8"/>
      <c r="AK7" s="38" t="s">
        <v>46</v>
      </c>
      <c r="AM7" s="36" t="s">
        <v>76</v>
      </c>
      <c r="AN7" s="8"/>
      <c r="AO7" s="37" t="s">
        <v>76</v>
      </c>
      <c r="AP7" s="8"/>
      <c r="AQ7" s="38" t="s">
        <v>46</v>
      </c>
      <c r="AS7" s="36" t="s">
        <v>151</v>
      </c>
      <c r="AT7" s="8"/>
      <c r="AU7" s="37" t="s">
        <v>151</v>
      </c>
      <c r="AV7" s="8"/>
      <c r="AW7" s="38" t="s">
        <v>46</v>
      </c>
      <c r="AY7" s="36" t="s">
        <v>104</v>
      </c>
      <c r="AZ7" s="8"/>
      <c r="BA7" s="37" t="s">
        <v>104</v>
      </c>
      <c r="BB7" s="8"/>
      <c r="BC7" s="38" t="s">
        <v>46</v>
      </c>
    </row>
    <row r="8" spans="1:55" x14ac:dyDescent="0.2">
      <c r="B8" s="8" t="s">
        <v>4</v>
      </c>
      <c r="C8" s="8"/>
      <c r="D8" s="13" t="s">
        <v>5</v>
      </c>
      <c r="E8" s="9" t="s">
        <v>6</v>
      </c>
      <c r="F8" s="2" t="s">
        <v>7</v>
      </c>
      <c r="G8" s="2" t="s">
        <v>8</v>
      </c>
      <c r="H8" s="2"/>
      <c r="I8" s="8"/>
      <c r="J8" s="8" t="s">
        <v>4</v>
      </c>
      <c r="K8" s="9"/>
      <c r="L8" s="2" t="s">
        <v>7</v>
      </c>
      <c r="M8" s="2" t="s">
        <v>8</v>
      </c>
      <c r="N8" s="35"/>
      <c r="O8" s="36" t="s">
        <v>55</v>
      </c>
      <c r="P8" s="8" t="s">
        <v>56</v>
      </c>
      <c r="Q8" s="37" t="s">
        <v>115</v>
      </c>
      <c r="R8" s="8" t="s">
        <v>116</v>
      </c>
      <c r="S8" s="38" t="s">
        <v>47</v>
      </c>
      <c r="U8" s="36" t="s">
        <v>55</v>
      </c>
      <c r="V8" s="8" t="s">
        <v>56</v>
      </c>
      <c r="W8" s="37" t="s">
        <v>115</v>
      </c>
      <c r="X8" s="8" t="s">
        <v>116</v>
      </c>
      <c r="Y8" s="38" t="s">
        <v>47</v>
      </c>
      <c r="AA8" s="36" t="s">
        <v>55</v>
      </c>
      <c r="AB8" s="8" t="s">
        <v>56</v>
      </c>
      <c r="AC8" s="37" t="s">
        <v>115</v>
      </c>
      <c r="AD8" s="8" t="s">
        <v>116</v>
      </c>
      <c r="AE8" s="38" t="s">
        <v>47</v>
      </c>
      <c r="AG8" s="36" t="s">
        <v>55</v>
      </c>
      <c r="AH8" s="8" t="s">
        <v>56</v>
      </c>
      <c r="AI8" s="37" t="s">
        <v>115</v>
      </c>
      <c r="AJ8" s="8" t="s">
        <v>116</v>
      </c>
      <c r="AK8" s="38" t="s">
        <v>47</v>
      </c>
      <c r="AM8" s="36" t="s">
        <v>55</v>
      </c>
      <c r="AN8" s="8" t="s">
        <v>56</v>
      </c>
      <c r="AO8" s="37" t="s">
        <v>115</v>
      </c>
      <c r="AP8" s="8" t="s">
        <v>116</v>
      </c>
      <c r="AQ8" s="38" t="s">
        <v>47</v>
      </c>
      <c r="AS8" s="36" t="s">
        <v>55</v>
      </c>
      <c r="AT8" s="8" t="s">
        <v>56</v>
      </c>
      <c r="AU8" s="37" t="s">
        <v>115</v>
      </c>
      <c r="AV8" s="8" t="s">
        <v>116</v>
      </c>
      <c r="AW8" s="38" t="s">
        <v>47</v>
      </c>
      <c r="AY8" s="36" t="s">
        <v>55</v>
      </c>
      <c r="AZ8" s="8" t="s">
        <v>56</v>
      </c>
      <c r="BA8" s="37" t="s">
        <v>115</v>
      </c>
      <c r="BB8" s="8" t="s">
        <v>116</v>
      </c>
      <c r="BC8" s="38" t="s">
        <v>47</v>
      </c>
    </row>
    <row r="9" spans="1:55" x14ac:dyDescent="0.2">
      <c r="A9" s="2" t="s">
        <v>9</v>
      </c>
      <c r="B9" s="7">
        <v>0</v>
      </c>
      <c r="C9" s="7"/>
      <c r="D9" s="14">
        <v>2450</v>
      </c>
      <c r="E9" s="15">
        <v>100</v>
      </c>
      <c r="F9" s="16">
        <f>$D9*D9/365</f>
        <v>16445.205479452055</v>
      </c>
      <c r="G9" s="16">
        <f>$B9*E9/365</f>
        <v>0</v>
      </c>
      <c r="H9" s="16"/>
      <c r="I9" s="2" t="s">
        <v>9</v>
      </c>
      <c r="J9" s="16">
        <v>0</v>
      </c>
      <c r="K9" s="16" t="s">
        <v>10</v>
      </c>
      <c r="L9" s="16">
        <v>0</v>
      </c>
      <c r="M9" s="16">
        <v>0</v>
      </c>
      <c r="N9" s="35"/>
      <c r="O9" s="29"/>
      <c r="P9" s="2"/>
      <c r="Q9" s="2"/>
      <c r="R9" s="2"/>
      <c r="S9" s="2"/>
      <c r="U9" s="42"/>
      <c r="V9" s="7"/>
      <c r="W9" s="7"/>
      <c r="X9" s="7"/>
      <c r="Y9" s="7"/>
      <c r="AA9" s="42"/>
      <c r="AB9" s="7"/>
      <c r="AC9" s="7"/>
      <c r="AD9" s="7"/>
      <c r="AE9" s="7"/>
      <c r="AG9" s="42"/>
      <c r="AH9" s="7"/>
      <c r="AI9" s="7"/>
      <c r="AJ9" s="7"/>
      <c r="AK9" s="7"/>
      <c r="AM9" s="42"/>
      <c r="AN9" s="7"/>
      <c r="AO9" s="7"/>
      <c r="AP9" s="7"/>
      <c r="AQ9" s="2"/>
      <c r="AS9" s="42"/>
      <c r="AT9" s="7"/>
      <c r="AU9" s="7"/>
      <c r="AV9" s="7"/>
      <c r="AW9" s="2"/>
      <c r="AY9" s="42"/>
      <c r="AZ9" s="7"/>
      <c r="BA9" s="7"/>
      <c r="BB9" s="7"/>
      <c r="BC9" s="2"/>
    </row>
    <row r="10" spans="1:55" x14ac:dyDescent="0.2">
      <c r="A10" s="17" t="s">
        <v>11</v>
      </c>
      <c r="B10" s="7">
        <v>0</v>
      </c>
      <c r="C10" s="7"/>
      <c r="D10" s="17">
        <v>3390</v>
      </c>
      <c r="E10" s="16">
        <v>137</v>
      </c>
      <c r="F10" s="16">
        <f t="shared" ref="F10:F30" si="0">B10*D10/365</f>
        <v>0</v>
      </c>
      <c r="G10" s="16">
        <f t="shared" ref="G10:G30" si="1">$B10*E10/365</f>
        <v>0</v>
      </c>
      <c r="H10" s="16"/>
      <c r="I10" s="17" t="s">
        <v>11</v>
      </c>
      <c r="J10" s="16">
        <v>0</v>
      </c>
      <c r="K10" s="16" t="s">
        <v>10</v>
      </c>
      <c r="L10" s="16">
        <v>0</v>
      </c>
      <c r="M10" s="16">
        <v>0</v>
      </c>
      <c r="N10" s="35"/>
      <c r="O10" s="29"/>
      <c r="P10" s="2"/>
      <c r="Q10" s="2"/>
      <c r="R10" s="2"/>
      <c r="S10" s="2"/>
      <c r="U10" s="42"/>
      <c r="V10" s="7"/>
      <c r="W10" s="7"/>
      <c r="X10" s="7"/>
      <c r="Y10" s="7"/>
      <c r="AA10" s="42"/>
      <c r="AB10" s="7"/>
      <c r="AC10" s="7"/>
      <c r="AD10" s="7"/>
      <c r="AE10" s="7"/>
      <c r="AG10" s="42"/>
      <c r="AH10" s="7"/>
      <c r="AI10" s="7"/>
      <c r="AJ10" s="7"/>
      <c r="AK10" s="7"/>
      <c r="AM10" s="72"/>
      <c r="AN10" s="72"/>
      <c r="AO10" s="72"/>
      <c r="AP10" s="72"/>
      <c r="AS10" s="72"/>
      <c r="AT10" s="72"/>
      <c r="AU10" s="72"/>
      <c r="AV10" s="72"/>
      <c r="AY10" s="72"/>
      <c r="AZ10" s="72"/>
      <c r="BA10" s="72"/>
      <c r="BB10" s="72"/>
    </row>
    <row r="11" spans="1:55" x14ac:dyDescent="0.2">
      <c r="A11" s="18" t="s">
        <v>12</v>
      </c>
      <c r="B11" s="7">
        <v>0</v>
      </c>
      <c r="C11" s="7"/>
      <c r="D11" s="18">
        <v>3370</v>
      </c>
      <c r="E11" s="114">
        <v>88</v>
      </c>
      <c r="F11" s="16">
        <f t="shared" si="0"/>
        <v>0</v>
      </c>
      <c r="G11" s="16">
        <f t="shared" si="1"/>
        <v>0</v>
      </c>
      <c r="H11" s="16"/>
      <c r="I11" s="18" t="s">
        <v>12</v>
      </c>
      <c r="J11" s="16">
        <v>0</v>
      </c>
      <c r="K11" s="16" t="s">
        <v>10</v>
      </c>
      <c r="L11" s="16">
        <v>0</v>
      </c>
      <c r="M11" s="16">
        <v>0</v>
      </c>
      <c r="N11" s="35"/>
      <c r="O11" s="29"/>
      <c r="P11" s="2"/>
      <c r="Q11" s="2"/>
      <c r="R11" s="40"/>
      <c r="S11" s="2"/>
      <c r="U11" s="42"/>
      <c r="V11" s="7"/>
      <c r="W11" s="7"/>
      <c r="X11" s="80"/>
      <c r="Y11" s="7"/>
      <c r="AA11" s="42"/>
      <c r="AB11" s="7"/>
      <c r="AC11" s="7"/>
      <c r="AD11" s="80"/>
      <c r="AE11" s="7"/>
      <c r="AG11" s="42"/>
      <c r="AH11" s="7"/>
      <c r="AI11" s="7"/>
      <c r="AJ11" s="80"/>
      <c r="AK11" s="7"/>
      <c r="AM11" s="42"/>
      <c r="AN11" s="7"/>
      <c r="AO11" s="7"/>
      <c r="AP11" s="80"/>
      <c r="AQ11" s="2"/>
      <c r="AS11" s="42"/>
      <c r="AT11" s="7"/>
      <c r="AU11" s="7"/>
      <c r="AV11" s="80"/>
      <c r="AW11" s="7"/>
      <c r="AX11" s="72"/>
      <c r="AY11" s="42"/>
      <c r="AZ11" s="7"/>
      <c r="BA11" s="7"/>
      <c r="BB11" s="80"/>
      <c r="BC11" s="2"/>
    </row>
    <row r="12" spans="1:55" x14ac:dyDescent="0.2">
      <c r="A12" s="18" t="s">
        <v>13</v>
      </c>
      <c r="B12" s="7">
        <v>0</v>
      </c>
      <c r="C12" s="7"/>
      <c r="D12" s="18">
        <v>3370</v>
      </c>
      <c r="E12" s="114">
        <v>88</v>
      </c>
      <c r="F12" s="16">
        <f t="shared" si="0"/>
        <v>0</v>
      </c>
      <c r="G12" s="16">
        <f t="shared" si="1"/>
        <v>0</v>
      </c>
      <c r="H12" s="16"/>
      <c r="I12" s="18" t="s">
        <v>13</v>
      </c>
      <c r="J12" s="16">
        <v>0</v>
      </c>
      <c r="K12" s="16" t="s">
        <v>10</v>
      </c>
      <c r="L12" s="16">
        <v>0</v>
      </c>
      <c r="M12" s="16">
        <v>0</v>
      </c>
      <c r="N12" s="35"/>
      <c r="O12" s="29"/>
      <c r="P12" s="2"/>
      <c r="Q12" s="2"/>
      <c r="R12" s="40"/>
      <c r="S12" s="2"/>
      <c r="U12" s="42"/>
      <c r="V12" s="7"/>
      <c r="W12" s="7"/>
      <c r="X12" s="80"/>
      <c r="Y12" s="7"/>
      <c r="AA12" s="42"/>
      <c r="AB12" s="7"/>
      <c r="AC12" s="7"/>
      <c r="AD12" s="80"/>
      <c r="AE12" s="7"/>
      <c r="AG12" s="42"/>
      <c r="AH12" s="7"/>
      <c r="AI12" s="7"/>
      <c r="AJ12" s="80"/>
      <c r="AK12" s="7"/>
      <c r="AM12" s="42"/>
      <c r="AN12" s="7"/>
      <c r="AO12" s="7"/>
      <c r="AP12" s="80"/>
      <c r="AQ12" s="2"/>
      <c r="AS12" s="42"/>
      <c r="AT12" s="7"/>
      <c r="AU12" s="7"/>
      <c r="AV12" s="80"/>
      <c r="AW12" s="7"/>
      <c r="AX12" s="72"/>
      <c r="AY12" s="42"/>
      <c r="AZ12" s="7"/>
      <c r="BA12" s="7"/>
      <c r="BB12" s="80"/>
      <c r="BC12" s="2"/>
    </row>
    <row r="13" spans="1:55" x14ac:dyDescent="0.2">
      <c r="A13" s="17" t="s">
        <v>14</v>
      </c>
      <c r="B13" s="7">
        <v>0</v>
      </c>
      <c r="C13" s="7"/>
      <c r="D13" s="19">
        <v>3901.9677419354839</v>
      </c>
      <c r="E13" s="114">
        <v>169.54838709677421</v>
      </c>
      <c r="F13" s="16">
        <f t="shared" si="0"/>
        <v>0</v>
      </c>
      <c r="G13" s="16">
        <f t="shared" si="1"/>
        <v>0</v>
      </c>
      <c r="H13" s="16"/>
      <c r="I13" s="17" t="s">
        <v>14</v>
      </c>
      <c r="J13" s="16">
        <v>158</v>
      </c>
      <c r="K13" s="16" t="s">
        <v>10</v>
      </c>
      <c r="L13" s="16">
        <f>$J13*D13/365</f>
        <v>1689.0709677419354</v>
      </c>
      <c r="M13" s="16">
        <f>$J13*E13/365</f>
        <v>73.393548387096786</v>
      </c>
      <c r="N13" s="35"/>
      <c r="O13" s="29"/>
      <c r="P13" s="2"/>
      <c r="Q13" s="29">
        <f>1.13904901466609/112.53</f>
        <v>1.0122180882130011E-2</v>
      </c>
      <c r="R13" s="39">
        <f>Q13*$J13</f>
        <v>1.5993045793765417</v>
      </c>
      <c r="S13" s="2"/>
      <c r="U13" s="42"/>
      <c r="V13" s="7"/>
      <c r="W13" s="42">
        <f>0.8813/117.11</f>
        <v>7.5254034668260604E-3</v>
      </c>
      <c r="X13" s="43">
        <f>W13*$J13</f>
        <v>1.1890137477585176</v>
      </c>
      <c r="Y13" s="7"/>
      <c r="AA13" s="42"/>
      <c r="AB13" s="7"/>
      <c r="AC13" s="42">
        <f>1.11155/115.288</f>
        <v>9.6415064880993693E-3</v>
      </c>
      <c r="AD13" s="43">
        <f>AC13*$J13</f>
        <v>1.5233580251197003</v>
      </c>
      <c r="AE13" s="7"/>
      <c r="AG13" s="42"/>
      <c r="AH13" s="7"/>
      <c r="AI13" s="42">
        <f>0.8813/114.76</f>
        <v>7.6795050540257922E-3</v>
      </c>
      <c r="AJ13" s="43">
        <f>AI13*$J13</f>
        <v>1.2133617985360752</v>
      </c>
      <c r="AK13" s="7"/>
      <c r="AM13" s="42"/>
      <c r="AN13" s="7"/>
      <c r="AO13" s="42">
        <f>1.1936/114.2</f>
        <v>1.045183887915937E-2</v>
      </c>
      <c r="AP13" s="43">
        <f>AO13*$J13</f>
        <v>1.6513905429071805</v>
      </c>
      <c r="AQ13" s="2"/>
      <c r="AS13" s="42"/>
      <c r="AT13" s="7"/>
      <c r="AU13" s="42">
        <f>1.231/159</f>
        <v>7.7421383647798747E-3</v>
      </c>
      <c r="AV13" s="43">
        <f>AU13*$J13</f>
        <v>1.2232578616352201</v>
      </c>
      <c r="AW13" s="7"/>
      <c r="AX13" s="72"/>
      <c r="AY13" s="42"/>
      <c r="AZ13" s="7"/>
      <c r="BA13" s="42">
        <f>2.168/276.417</f>
        <v>7.8432223777842904E-3</v>
      </c>
      <c r="BB13" s="43">
        <f>BA13*$J13</f>
        <v>1.2392291356899179</v>
      </c>
      <c r="BC13" s="2"/>
    </row>
    <row r="14" spans="1:55" x14ac:dyDescent="0.2">
      <c r="A14" s="17" t="s">
        <v>15</v>
      </c>
      <c r="B14" s="7">
        <v>0</v>
      </c>
      <c r="C14" s="7"/>
      <c r="D14" s="17">
        <f>3780*0.8</f>
        <v>3024</v>
      </c>
      <c r="E14" s="20">
        <v>110</v>
      </c>
      <c r="F14" s="16">
        <f t="shared" si="0"/>
        <v>0</v>
      </c>
      <c r="G14" s="16">
        <f t="shared" si="1"/>
        <v>0</v>
      </c>
      <c r="H14" s="16"/>
      <c r="I14" s="17" t="s">
        <v>15</v>
      </c>
      <c r="J14" s="16">
        <v>0</v>
      </c>
      <c r="K14" s="16" t="s">
        <v>10</v>
      </c>
      <c r="L14" s="16">
        <v>0</v>
      </c>
      <c r="M14" s="16">
        <v>0</v>
      </c>
      <c r="N14" s="35"/>
      <c r="O14" s="29"/>
      <c r="P14" s="2"/>
      <c r="Q14" s="2"/>
      <c r="R14" s="2"/>
      <c r="S14" s="2"/>
      <c r="U14" s="42"/>
      <c r="V14" s="7"/>
      <c r="W14" s="7"/>
      <c r="X14" s="7"/>
      <c r="Y14" s="7"/>
      <c r="AA14" s="42"/>
      <c r="AB14" s="7"/>
      <c r="AC14" s="7"/>
      <c r="AD14" s="7"/>
      <c r="AE14" s="7"/>
      <c r="AG14" s="42"/>
      <c r="AH14" s="7"/>
      <c r="AI14" s="7"/>
      <c r="AJ14" s="7"/>
      <c r="AK14" s="7"/>
      <c r="AM14" s="42"/>
      <c r="AN14" s="7"/>
      <c r="AO14" s="7"/>
      <c r="AP14" s="7"/>
      <c r="AQ14" s="2"/>
      <c r="AS14" s="42"/>
      <c r="AT14" s="7"/>
      <c r="AU14" s="7"/>
      <c r="AV14" s="7"/>
      <c r="AW14" s="7"/>
      <c r="AX14" s="72"/>
      <c r="AY14" s="42"/>
      <c r="AZ14" s="7"/>
      <c r="BA14" s="7"/>
      <c r="BB14" s="7"/>
      <c r="BC14" s="2"/>
    </row>
    <row r="15" spans="1:55" x14ac:dyDescent="0.2">
      <c r="A15" s="17" t="s">
        <v>16</v>
      </c>
      <c r="B15" s="7">
        <v>0</v>
      </c>
      <c r="C15" s="7"/>
      <c r="D15" s="17">
        <v>3870</v>
      </c>
      <c r="E15" s="20"/>
      <c r="F15" s="16">
        <f t="shared" si="0"/>
        <v>0</v>
      </c>
      <c r="G15" s="16">
        <f t="shared" si="1"/>
        <v>0</v>
      </c>
      <c r="H15" s="16"/>
      <c r="I15" s="17" t="s">
        <v>16</v>
      </c>
      <c r="J15" s="16">
        <v>0</v>
      </c>
      <c r="K15" s="16" t="s">
        <v>10</v>
      </c>
      <c r="L15" s="16">
        <v>0</v>
      </c>
      <c r="M15" s="16">
        <v>0</v>
      </c>
      <c r="N15" s="35"/>
      <c r="O15" s="29"/>
      <c r="P15" s="2"/>
      <c r="Q15" s="2"/>
      <c r="R15" s="2"/>
      <c r="S15" s="2"/>
      <c r="U15" s="42"/>
      <c r="V15" s="7"/>
      <c r="W15" s="7"/>
      <c r="X15" s="7"/>
      <c r="Y15" s="7"/>
      <c r="AA15" s="42"/>
      <c r="AB15" s="7"/>
      <c r="AC15" s="7"/>
      <c r="AD15" s="7"/>
      <c r="AE15" s="7"/>
      <c r="AG15" s="42"/>
      <c r="AH15" s="7"/>
      <c r="AI15" s="7"/>
      <c r="AJ15" s="7"/>
      <c r="AK15" s="7"/>
      <c r="AM15" s="42"/>
      <c r="AN15" s="7"/>
      <c r="AO15" s="7"/>
      <c r="AP15" s="7"/>
      <c r="AQ15" s="2"/>
      <c r="AS15" s="42"/>
      <c r="AT15" s="7"/>
      <c r="AU15" s="7"/>
      <c r="AV15" s="7"/>
      <c r="AW15" s="7"/>
      <c r="AX15" s="72"/>
      <c r="AY15" s="42"/>
      <c r="AZ15" s="7"/>
      <c r="BA15" s="7"/>
      <c r="BB15" s="7"/>
      <c r="BC15" s="2"/>
    </row>
    <row r="16" spans="1:55" x14ac:dyDescent="0.2">
      <c r="A16" s="17" t="s">
        <v>17</v>
      </c>
      <c r="B16" s="7">
        <v>0</v>
      </c>
      <c r="C16" s="7"/>
      <c r="D16" s="17">
        <v>3610</v>
      </c>
      <c r="E16" s="20"/>
      <c r="F16" s="20">
        <f t="shared" si="0"/>
        <v>0</v>
      </c>
      <c r="G16" s="16">
        <f t="shared" si="1"/>
        <v>0</v>
      </c>
      <c r="H16" s="20"/>
      <c r="I16" s="17" t="s">
        <v>17</v>
      </c>
      <c r="J16" s="16">
        <v>0</v>
      </c>
      <c r="K16" s="16" t="s">
        <v>10</v>
      </c>
      <c r="L16" s="16">
        <v>0</v>
      </c>
      <c r="M16" s="16">
        <v>0</v>
      </c>
      <c r="N16" s="35"/>
      <c r="O16" s="29"/>
      <c r="P16" s="2"/>
      <c r="Q16" s="2"/>
      <c r="R16" s="2"/>
      <c r="S16" s="2"/>
      <c r="U16" s="42"/>
      <c r="V16" s="7"/>
      <c r="W16" s="7"/>
      <c r="X16" s="7"/>
      <c r="Y16" s="7"/>
      <c r="AA16" s="42"/>
      <c r="AB16" s="7"/>
      <c r="AC16" s="7"/>
      <c r="AD16" s="7"/>
      <c r="AE16" s="7"/>
      <c r="AG16" s="42"/>
      <c r="AH16" s="7"/>
      <c r="AI16" s="7"/>
      <c r="AJ16" s="7"/>
      <c r="AK16" s="7"/>
      <c r="AM16" s="42"/>
      <c r="AN16" s="7"/>
      <c r="AO16" s="7"/>
      <c r="AP16" s="7"/>
      <c r="AQ16" s="2"/>
      <c r="AS16" s="42"/>
      <c r="AT16" s="7"/>
      <c r="AU16" s="7"/>
      <c r="AV16" s="7"/>
      <c r="AW16" s="7"/>
      <c r="AX16" s="72"/>
      <c r="AY16" s="42"/>
      <c r="AZ16" s="7"/>
      <c r="BA16" s="7"/>
      <c r="BB16" s="7"/>
      <c r="BC16" s="2"/>
    </row>
    <row r="17" spans="1:55" x14ac:dyDescent="0.2">
      <c r="A17" s="17" t="s">
        <v>18</v>
      </c>
      <c r="B17" s="7">
        <v>0</v>
      </c>
      <c r="C17" s="7"/>
      <c r="D17" s="17">
        <v>3370</v>
      </c>
      <c r="E17" s="20">
        <v>108</v>
      </c>
      <c r="F17" s="20">
        <f t="shared" si="0"/>
        <v>0</v>
      </c>
      <c r="G17" s="16">
        <f t="shared" si="1"/>
        <v>0</v>
      </c>
      <c r="H17" s="20"/>
      <c r="I17" s="17" t="s">
        <v>18</v>
      </c>
      <c r="J17" s="16">
        <v>0</v>
      </c>
      <c r="K17" s="16" t="s">
        <v>10</v>
      </c>
      <c r="L17" s="16">
        <v>0</v>
      </c>
      <c r="M17" s="16">
        <v>0</v>
      </c>
      <c r="N17" s="35"/>
      <c r="O17" s="29"/>
      <c r="P17" s="2"/>
      <c r="Q17" s="2"/>
      <c r="R17" s="2"/>
      <c r="S17" s="2"/>
      <c r="U17" s="42"/>
      <c r="V17" s="7"/>
      <c r="W17" s="7"/>
      <c r="X17" s="7"/>
      <c r="Y17" s="7"/>
      <c r="AA17" s="42"/>
      <c r="AB17" s="7"/>
      <c r="AC17" s="7"/>
      <c r="AD17" s="7"/>
      <c r="AE17" s="7"/>
      <c r="AG17" s="42"/>
      <c r="AH17" s="7"/>
      <c r="AI17" s="7"/>
      <c r="AJ17" s="7"/>
      <c r="AK17" s="7"/>
      <c r="AM17" s="42"/>
      <c r="AN17" s="7"/>
      <c r="AO17" s="7"/>
      <c r="AP17" s="7"/>
      <c r="AQ17" s="2"/>
      <c r="AS17" s="42"/>
      <c r="AT17" s="7"/>
      <c r="AU17" s="7"/>
      <c r="AV17" s="7"/>
      <c r="AW17" s="7"/>
      <c r="AX17" s="72"/>
      <c r="AY17" s="42"/>
      <c r="AZ17" s="7"/>
      <c r="BA17" s="7"/>
      <c r="BB17" s="7"/>
      <c r="BC17" s="2"/>
    </row>
    <row r="18" spans="1:55" x14ac:dyDescent="0.2">
      <c r="A18" s="17" t="s">
        <v>19</v>
      </c>
      <c r="B18" s="7">
        <v>168</v>
      </c>
      <c r="C18" s="7" t="s">
        <v>10</v>
      </c>
      <c r="D18" s="17">
        <v>3620</v>
      </c>
      <c r="E18" s="20">
        <v>75</v>
      </c>
      <c r="F18" s="20">
        <f t="shared" si="0"/>
        <v>1666.1917808219177</v>
      </c>
      <c r="G18" s="16">
        <f t="shared" si="1"/>
        <v>34.520547945205479</v>
      </c>
      <c r="H18" s="20"/>
      <c r="I18" s="17" t="s">
        <v>19</v>
      </c>
      <c r="J18" s="20">
        <v>0</v>
      </c>
      <c r="K18" s="16" t="s">
        <v>10</v>
      </c>
      <c r="L18" s="16">
        <v>0</v>
      </c>
      <c r="M18" s="16">
        <v>0</v>
      </c>
      <c r="N18" s="35"/>
      <c r="O18" s="29">
        <v>4.360489873784258E-3</v>
      </c>
      <c r="P18" s="39">
        <f>O18*$B18</f>
        <v>0.7325622987957553</v>
      </c>
      <c r="Q18" s="2"/>
      <c r="R18" s="2"/>
      <c r="S18" s="2"/>
      <c r="U18" s="42">
        <v>2.1098798863655242E-3</v>
      </c>
      <c r="V18" s="43">
        <f>U18*$B18</f>
        <v>0.35445982090940809</v>
      </c>
      <c r="W18" s="7"/>
      <c r="X18" s="7"/>
      <c r="Y18" s="7"/>
      <c r="AA18" s="42">
        <v>3.5650919462085658E-3</v>
      </c>
      <c r="AB18" s="43">
        <f>AA18*$B18</f>
        <v>0.59893544696303902</v>
      </c>
      <c r="AC18" s="7"/>
      <c r="AD18" s="7"/>
      <c r="AE18" s="7"/>
      <c r="AG18" s="42">
        <v>4.6552128336514948E-3</v>
      </c>
      <c r="AH18" s="43">
        <f>AG18*$B18</f>
        <v>0.78207575605345114</v>
      </c>
      <c r="AI18" s="7"/>
      <c r="AJ18" s="7"/>
      <c r="AK18" s="7"/>
      <c r="AM18" s="42">
        <v>6.0146093017021847E-3</v>
      </c>
      <c r="AN18" s="43">
        <f>AM18*$B18</f>
        <v>1.010454362685967</v>
      </c>
      <c r="AO18" s="7"/>
      <c r="AP18" s="7"/>
      <c r="AQ18" s="2"/>
      <c r="AS18" s="42">
        <v>5.9722038644288303E-3</v>
      </c>
      <c r="AT18" s="43">
        <f>AS18*$B18</f>
        <v>1.0033302492240435</v>
      </c>
      <c r="AU18" s="7"/>
      <c r="AV18" s="7"/>
      <c r="AW18" s="7"/>
      <c r="AX18" s="72"/>
      <c r="AY18" s="42">
        <v>5.9722038644288303E-3</v>
      </c>
      <c r="AZ18" s="43">
        <f>AY18*$B18</f>
        <v>1.0033302492240435</v>
      </c>
      <c r="BA18" s="7"/>
      <c r="BB18" s="7"/>
      <c r="BC18" s="2"/>
    </row>
    <row r="19" spans="1:55" x14ac:dyDescent="0.2">
      <c r="A19" s="17" t="s">
        <v>20</v>
      </c>
      <c r="B19" s="7">
        <v>0</v>
      </c>
      <c r="C19" s="7"/>
      <c r="D19" s="17">
        <v>3640</v>
      </c>
      <c r="E19" s="20"/>
      <c r="F19" s="20">
        <f t="shared" si="0"/>
        <v>0</v>
      </c>
      <c r="G19" s="16">
        <f t="shared" si="1"/>
        <v>0</v>
      </c>
      <c r="H19" s="20"/>
      <c r="I19" s="17" t="s">
        <v>20</v>
      </c>
      <c r="J19" s="20">
        <v>0</v>
      </c>
      <c r="K19" s="16" t="s">
        <v>10</v>
      </c>
      <c r="L19" s="16">
        <v>0</v>
      </c>
      <c r="M19" s="16">
        <v>0</v>
      </c>
      <c r="N19" s="35"/>
      <c r="O19" s="29"/>
      <c r="P19" s="2"/>
      <c r="Q19" s="2"/>
      <c r="R19" s="2"/>
      <c r="S19" s="2"/>
      <c r="U19" s="42"/>
      <c r="V19" s="7"/>
      <c r="W19" s="7"/>
      <c r="X19" s="7"/>
      <c r="Y19" s="7"/>
      <c r="AA19" s="42"/>
      <c r="AB19" s="7"/>
      <c r="AC19" s="7"/>
      <c r="AD19" s="7"/>
      <c r="AE19" s="7"/>
      <c r="AG19" s="42"/>
      <c r="AH19" s="7"/>
      <c r="AI19" s="7"/>
      <c r="AJ19" s="7"/>
      <c r="AK19" s="7"/>
      <c r="AM19" s="42"/>
      <c r="AN19" s="7"/>
      <c r="AO19" s="7"/>
      <c r="AP19" s="7"/>
      <c r="AQ19" s="2"/>
      <c r="AS19" s="42"/>
      <c r="AT19" s="7"/>
      <c r="AU19" s="7"/>
      <c r="AV19" s="7"/>
      <c r="AW19" s="7"/>
      <c r="AX19" s="72"/>
      <c r="AY19" s="42"/>
      <c r="AZ19" s="7"/>
      <c r="BA19" s="7"/>
      <c r="BB19" s="7"/>
      <c r="BC19" s="2"/>
    </row>
    <row r="20" spans="1:55" x14ac:dyDescent="0.2">
      <c r="A20" s="17" t="s">
        <v>21</v>
      </c>
      <c r="B20" s="7">
        <v>0</v>
      </c>
      <c r="C20" s="7"/>
      <c r="D20" s="17">
        <v>3920</v>
      </c>
      <c r="E20" s="20">
        <v>343</v>
      </c>
      <c r="F20" s="20">
        <f t="shared" si="0"/>
        <v>0</v>
      </c>
      <c r="G20" s="16">
        <f t="shared" si="1"/>
        <v>0</v>
      </c>
      <c r="H20" s="20"/>
      <c r="I20" s="17" t="s">
        <v>21</v>
      </c>
      <c r="J20" s="20">
        <v>0</v>
      </c>
      <c r="K20" s="16" t="s">
        <v>10</v>
      </c>
      <c r="L20" s="16">
        <v>0</v>
      </c>
      <c r="M20" s="16">
        <v>0</v>
      </c>
      <c r="N20" s="35"/>
      <c r="O20" s="29"/>
      <c r="P20" s="29"/>
      <c r="Q20" s="2"/>
      <c r="R20" s="40"/>
      <c r="S20" s="2"/>
      <c r="U20" s="42"/>
      <c r="V20" s="42"/>
      <c r="W20" s="7"/>
      <c r="X20" s="80"/>
      <c r="Y20" s="7"/>
      <c r="AA20" s="42"/>
      <c r="AB20" s="42"/>
      <c r="AC20" s="7"/>
      <c r="AD20" s="80"/>
      <c r="AE20" s="7"/>
      <c r="AG20" s="42"/>
      <c r="AH20" s="42"/>
      <c r="AI20" s="7"/>
      <c r="AJ20" s="80"/>
      <c r="AK20" s="7"/>
      <c r="AM20" s="42"/>
      <c r="AN20" s="42"/>
      <c r="AO20" s="7"/>
      <c r="AP20" s="80"/>
      <c r="AQ20" s="2"/>
      <c r="AS20" s="42"/>
      <c r="AT20" s="42"/>
      <c r="AU20" s="7"/>
      <c r="AV20" s="80"/>
      <c r="AW20" s="7"/>
      <c r="AX20" s="72"/>
      <c r="AY20" s="42"/>
      <c r="AZ20" s="42"/>
      <c r="BA20" s="7"/>
      <c r="BB20" s="80"/>
      <c r="BC20" s="2"/>
    </row>
    <row r="21" spans="1:55" x14ac:dyDescent="0.2">
      <c r="A21" s="17" t="s">
        <v>22</v>
      </c>
      <c r="B21" s="7">
        <v>25</v>
      </c>
      <c r="C21" s="7" t="s">
        <v>10</v>
      </c>
      <c r="D21" s="17">
        <v>3383</v>
      </c>
      <c r="E21" s="20">
        <v>213</v>
      </c>
      <c r="F21" s="20">
        <f t="shared" si="0"/>
        <v>231.7123287671233</v>
      </c>
      <c r="G21" s="16">
        <f t="shared" si="1"/>
        <v>14.58904109589041</v>
      </c>
      <c r="H21" s="20"/>
      <c r="I21" s="17" t="s">
        <v>22</v>
      </c>
      <c r="J21" s="20">
        <v>14</v>
      </c>
      <c r="K21" s="17" t="s">
        <v>10</v>
      </c>
      <c r="L21" s="16">
        <f>$J21*D21/365</f>
        <v>129.75890410958905</v>
      </c>
      <c r="M21" s="16">
        <f>$J21*E21/365</f>
        <v>8.169863013698631</v>
      </c>
      <c r="N21" s="35"/>
      <c r="O21" s="29">
        <v>5.9302662283465899E-3</v>
      </c>
      <c r="P21" s="39">
        <f>O21*$B21</f>
        <v>0.14825665570866475</v>
      </c>
      <c r="Q21" s="29">
        <f>0.73*0.896069508528302/112.53</f>
        <v>5.8129453587990806E-3</v>
      </c>
      <c r="R21" s="43">
        <f>Q21*$J21</f>
        <v>8.1381235023187129E-2</v>
      </c>
      <c r="S21" s="41">
        <f>O21/Q21</f>
        <v>1.0201826892058981</v>
      </c>
      <c r="U21" s="42">
        <v>2.8694366454571135E-3</v>
      </c>
      <c r="V21" s="43">
        <f>U21*$B21</f>
        <v>7.1735916136427838E-2</v>
      </c>
      <c r="W21" s="42">
        <f>0.73*0.64754/117.11</f>
        <v>4.0364119204167022E-3</v>
      </c>
      <c r="X21" s="43">
        <f>W21*$J21</f>
        <v>5.6509766885833833E-2</v>
      </c>
      <c r="Y21" s="45">
        <f>U21/W21</f>
        <v>0.7108879623863773</v>
      </c>
      <c r="AA21" s="42">
        <v>4.8485250468436498E-3</v>
      </c>
      <c r="AB21" s="43">
        <f>AA21*$B21</f>
        <v>0.12121312617109124</v>
      </c>
      <c r="AC21" s="42">
        <f>0.73*0.798/115.288</f>
        <v>5.0529109707862056E-3</v>
      </c>
      <c r="AD21" s="43">
        <f>AC21*$J21</f>
        <v>7.0740753591006872E-2</v>
      </c>
      <c r="AE21" s="45">
        <f>AA21/AC21</f>
        <v>0.95955085590776712</v>
      </c>
      <c r="AG21" s="42">
        <v>6.3310894537660332E-3</v>
      </c>
      <c r="AH21" s="43">
        <f>AG21*$B21</f>
        <v>0.15827723634415083</v>
      </c>
      <c r="AI21" s="42">
        <f>0.73*0.64754/114.76</f>
        <v>4.1190676193795751E-3</v>
      </c>
      <c r="AJ21" s="43">
        <f>AI21*$J21</f>
        <v>5.766694667131405E-2</v>
      </c>
      <c r="AK21" s="45">
        <f>AG21/AI21</f>
        <v>1.5370200343347697</v>
      </c>
      <c r="AM21" s="42">
        <v>8.1798686503149719E-3</v>
      </c>
      <c r="AN21" s="43">
        <f>AM21*$B21</f>
        <v>0.2044967162578743</v>
      </c>
      <c r="AO21" s="42">
        <f>0.73*0.8582/114.3</f>
        <v>5.4810673665791777E-3</v>
      </c>
      <c r="AP21" s="43">
        <f>AO21*$J21</f>
        <v>7.6734943132108491E-2</v>
      </c>
      <c r="AQ21" s="41">
        <f>AM21/AO21</f>
        <v>1.4923860816219376</v>
      </c>
      <c r="AS21" s="42">
        <v>8.1221972556232095E-3</v>
      </c>
      <c r="AT21" s="43">
        <f>AS21*$B21</f>
        <v>0.20305493139058023</v>
      </c>
      <c r="AU21" s="42">
        <f>0.73*0.8521/159</f>
        <v>3.9121572327044021E-3</v>
      </c>
      <c r="AV21" s="43">
        <f>AU21*$J21</f>
        <v>5.4770201257861625E-2</v>
      </c>
      <c r="AW21" s="45">
        <f>AS21/AU21</f>
        <v>2.0761428471545567</v>
      </c>
      <c r="AX21" s="72"/>
      <c r="AY21" s="42">
        <v>8.1221972556232095E-3</v>
      </c>
      <c r="AZ21" s="43">
        <f>AY21*$B21</f>
        <v>0.20305493139058023</v>
      </c>
      <c r="BA21" s="42">
        <f>0.73*1.72817/276.4</f>
        <v>4.5642695369030395E-3</v>
      </c>
      <c r="BB21" s="43">
        <f>BA21*$J21</f>
        <v>6.3899773516642555E-2</v>
      </c>
      <c r="BC21" s="41">
        <f>AY21/BA21</f>
        <v>1.7795174430330214</v>
      </c>
    </row>
    <row r="22" spans="1:55" x14ac:dyDescent="0.2">
      <c r="A22" s="17" t="s">
        <v>24</v>
      </c>
      <c r="B22" s="7">
        <v>0</v>
      </c>
      <c r="C22" s="7"/>
      <c r="D22" s="17">
        <v>2500</v>
      </c>
      <c r="E22" s="20">
        <v>200</v>
      </c>
      <c r="F22" s="21">
        <f t="shared" si="0"/>
        <v>0</v>
      </c>
      <c r="G22" s="16">
        <f t="shared" si="1"/>
        <v>0</v>
      </c>
      <c r="H22" s="20"/>
      <c r="I22" s="17" t="s">
        <v>24</v>
      </c>
      <c r="J22" s="20">
        <f>5*1.0684</f>
        <v>5.3420000000000005</v>
      </c>
      <c r="K22" s="20" t="s">
        <v>10</v>
      </c>
      <c r="L22" s="16">
        <f>$J22*D22/365</f>
        <v>36.589041095890416</v>
      </c>
      <c r="M22" s="16">
        <f>$J22*E22/365</f>
        <v>2.927123287671233</v>
      </c>
      <c r="N22" s="35"/>
      <c r="O22" s="29"/>
      <c r="P22" s="39"/>
      <c r="Q22" s="29">
        <f>7.59355916466484/112.53</f>
        <v>6.7480308936859856E-2</v>
      </c>
      <c r="R22" s="43">
        <f>Q22*$J22</f>
        <v>0.36047981034070536</v>
      </c>
      <c r="S22" s="45"/>
      <c r="U22" s="42"/>
      <c r="V22" s="43"/>
      <c r="W22" s="42">
        <f>6.153/117.11</f>
        <v>5.2540346682606091E-2</v>
      </c>
      <c r="X22" s="43">
        <f>W22*$J22</f>
        <v>0.28067053197848174</v>
      </c>
      <c r="Y22" s="45"/>
      <c r="AA22" s="42"/>
      <c r="AB22" s="43"/>
      <c r="AC22" s="42">
        <f>6.7792/115.288</f>
        <v>5.8802303795711615E-2</v>
      </c>
      <c r="AD22" s="43">
        <f>AC22*$J22</f>
        <v>0.3141219068766915</v>
      </c>
      <c r="AE22" s="45"/>
      <c r="AG22" s="42"/>
      <c r="AH22" s="43"/>
      <c r="AI22" s="42">
        <f>6.153/114.76</f>
        <v>5.3616242593238057E-2</v>
      </c>
      <c r="AJ22" s="43">
        <f>AI22*$J22</f>
        <v>0.28641796793307772</v>
      </c>
      <c r="AK22" s="45"/>
      <c r="AM22" s="42"/>
      <c r="AN22" s="43"/>
      <c r="AO22" s="42">
        <f>8.561/114.2</f>
        <v>7.4964973730297715E-2</v>
      </c>
      <c r="AP22" s="43">
        <f>AO22*$J22</f>
        <v>0.40046288966725041</v>
      </c>
      <c r="AQ22" s="45"/>
      <c r="AS22" s="42"/>
      <c r="AT22" s="43"/>
      <c r="AU22" s="42">
        <f>9.234/159</f>
        <v>5.807547169811321E-2</v>
      </c>
      <c r="AV22" s="43">
        <f>AU22*$J22</f>
        <v>0.31023916981132077</v>
      </c>
      <c r="AW22" s="45"/>
      <c r="AX22" s="72"/>
      <c r="AY22" s="42"/>
      <c r="AZ22" s="43"/>
      <c r="BA22" s="42">
        <f>9.54/276.417</f>
        <v>3.451307264025006E-2</v>
      </c>
      <c r="BB22" s="43">
        <f>BA22*$J22</f>
        <v>0.18436883404421583</v>
      </c>
      <c r="BC22" s="45"/>
    </row>
    <row r="23" spans="1:55" x14ac:dyDescent="0.2">
      <c r="A23" s="17" t="s">
        <v>25</v>
      </c>
      <c r="B23" s="7">
        <v>6</v>
      </c>
      <c r="C23" s="7" t="s">
        <v>10</v>
      </c>
      <c r="D23" s="17">
        <v>1301</v>
      </c>
      <c r="E23" s="20">
        <v>192</v>
      </c>
      <c r="F23" s="21">
        <f t="shared" si="0"/>
        <v>21.386301369863013</v>
      </c>
      <c r="G23" s="16">
        <f t="shared" si="1"/>
        <v>3.1561643835616437</v>
      </c>
      <c r="H23" s="20"/>
      <c r="I23" s="17" t="s">
        <v>25</v>
      </c>
      <c r="J23" s="20">
        <v>0</v>
      </c>
      <c r="K23" s="20"/>
      <c r="L23" s="20">
        <v>0</v>
      </c>
      <c r="M23" s="20">
        <v>0</v>
      </c>
      <c r="N23" s="35"/>
      <c r="O23" s="29">
        <v>1.437699404482084E-2</v>
      </c>
      <c r="P23" s="39">
        <f>O23*$B23</f>
        <v>8.6261964268925045E-2</v>
      </c>
      <c r="Q23" s="2"/>
      <c r="R23" s="7"/>
      <c r="S23" s="44"/>
      <c r="U23" s="42">
        <v>1.3857774753079723E-2</v>
      </c>
      <c r="V23" s="43">
        <f>U23*$B23</f>
        <v>8.3146648518478333E-2</v>
      </c>
      <c r="W23" s="7"/>
      <c r="X23" s="7"/>
      <c r="Y23" s="44"/>
      <c r="AA23" s="42">
        <v>1.3576474046586837E-2</v>
      </c>
      <c r="AB23" s="43">
        <f>AA23*$B23</f>
        <v>8.145884427952102E-2</v>
      </c>
      <c r="AC23" s="7"/>
      <c r="AD23" s="7"/>
      <c r="AE23" s="44"/>
      <c r="AG23" s="42">
        <v>1.3230876075720531E-2</v>
      </c>
      <c r="AH23" s="43">
        <f>AG23*$B23</f>
        <v>7.9385256454323191E-2</v>
      </c>
      <c r="AI23" s="7"/>
      <c r="AJ23" s="7"/>
      <c r="AK23" s="44"/>
      <c r="AM23" s="42">
        <v>1.3051702184693743E-2</v>
      </c>
      <c r="AN23" s="43">
        <f>AM23*$B23</f>
        <v>7.8310213108162455E-2</v>
      </c>
      <c r="AO23" s="7"/>
      <c r="AP23" s="7"/>
      <c r="AQ23" s="44"/>
      <c r="AS23" s="42">
        <v>1.2959682385810564E-2</v>
      </c>
      <c r="AT23" s="43">
        <f>AS23*$B23</f>
        <v>7.7758094314863385E-2</v>
      </c>
      <c r="AU23" s="7"/>
      <c r="AV23" s="7"/>
      <c r="AW23" s="44"/>
      <c r="AX23" s="72"/>
      <c r="AY23" s="42">
        <v>1.2959682385810564E-2</v>
      </c>
      <c r="AZ23" s="43">
        <f>AY23*$B23</f>
        <v>7.7758094314863385E-2</v>
      </c>
      <c r="BA23" s="7"/>
      <c r="BB23" s="7"/>
      <c r="BC23" s="44"/>
    </row>
    <row r="24" spans="1:55" x14ac:dyDescent="0.2">
      <c r="A24" s="17" t="s">
        <v>26</v>
      </c>
      <c r="B24" s="7">
        <v>0</v>
      </c>
      <c r="C24" s="7"/>
      <c r="D24" s="17">
        <v>1553</v>
      </c>
      <c r="E24" s="20">
        <v>0</v>
      </c>
      <c r="F24" s="20">
        <f t="shared" si="0"/>
        <v>0</v>
      </c>
      <c r="G24" s="16">
        <f t="shared" si="1"/>
        <v>0</v>
      </c>
      <c r="H24" s="20"/>
      <c r="I24" s="17" t="s">
        <v>26</v>
      </c>
      <c r="J24" s="20">
        <v>0</v>
      </c>
      <c r="K24" s="17" t="s">
        <v>23</v>
      </c>
      <c r="L24" s="20">
        <v>0</v>
      </c>
      <c r="M24" s="20">
        <v>0</v>
      </c>
      <c r="N24" s="35"/>
      <c r="O24" s="29"/>
      <c r="P24" s="39"/>
      <c r="Q24" s="2"/>
      <c r="R24" s="7"/>
      <c r="S24" s="44"/>
      <c r="U24" s="42"/>
      <c r="V24" s="43"/>
      <c r="W24" s="7"/>
      <c r="X24" s="7"/>
      <c r="Y24" s="44"/>
      <c r="AA24" s="42"/>
      <c r="AB24" s="43"/>
      <c r="AC24" s="7"/>
      <c r="AD24" s="7"/>
      <c r="AE24" s="44"/>
      <c r="AG24" s="42"/>
      <c r="AH24" s="43"/>
      <c r="AI24" s="7"/>
      <c r="AJ24" s="7"/>
      <c r="AK24" s="44"/>
      <c r="AM24" s="42"/>
      <c r="AN24" s="43"/>
      <c r="AO24" s="7"/>
      <c r="AP24" s="7"/>
      <c r="AQ24" s="44"/>
      <c r="AS24" s="42"/>
      <c r="AT24" s="43"/>
      <c r="AU24" s="7"/>
      <c r="AV24" s="7"/>
      <c r="AW24" s="44"/>
      <c r="AX24" s="72"/>
      <c r="AY24" s="42"/>
      <c r="AZ24" s="43"/>
      <c r="BA24" s="7"/>
      <c r="BB24" s="7"/>
      <c r="BC24" s="44"/>
    </row>
    <row r="25" spans="1:55" x14ac:dyDescent="0.2">
      <c r="A25" s="17" t="s">
        <v>27</v>
      </c>
      <c r="B25" s="7">
        <v>0</v>
      </c>
      <c r="C25" s="7"/>
      <c r="D25" s="19">
        <v>425.16483516483515</v>
      </c>
      <c r="E25" s="19">
        <v>4.0109890109890109</v>
      </c>
      <c r="F25" s="20">
        <f t="shared" si="0"/>
        <v>0</v>
      </c>
      <c r="G25" s="16">
        <f t="shared" si="1"/>
        <v>0</v>
      </c>
      <c r="H25" s="20"/>
      <c r="I25" s="17" t="s">
        <v>27</v>
      </c>
      <c r="J25" s="20">
        <v>0</v>
      </c>
      <c r="K25" s="17" t="s">
        <v>23</v>
      </c>
      <c r="L25" s="20">
        <v>0</v>
      </c>
      <c r="M25" s="20">
        <v>0</v>
      </c>
      <c r="N25" s="35"/>
      <c r="O25" s="29"/>
      <c r="P25" s="7"/>
      <c r="Q25" s="2"/>
      <c r="R25" s="7"/>
      <c r="S25" s="44"/>
      <c r="U25" s="42"/>
      <c r="V25" s="7"/>
      <c r="W25" s="7"/>
      <c r="X25" s="7"/>
      <c r="Y25" s="44"/>
      <c r="AA25" s="42"/>
      <c r="AB25" s="7"/>
      <c r="AC25" s="7"/>
      <c r="AD25" s="7"/>
      <c r="AE25" s="44"/>
      <c r="AG25" s="42"/>
      <c r="AH25" s="7"/>
      <c r="AI25" s="7"/>
      <c r="AJ25" s="7"/>
      <c r="AK25" s="44"/>
      <c r="AM25" s="42"/>
      <c r="AN25" s="7"/>
      <c r="AO25" s="7"/>
      <c r="AP25" s="7"/>
      <c r="AQ25" s="44"/>
      <c r="AS25" s="42"/>
      <c r="AT25" s="7"/>
      <c r="AU25" s="7"/>
      <c r="AV25" s="7"/>
      <c r="AW25" s="44"/>
      <c r="AX25" s="72"/>
      <c r="AY25" s="42"/>
      <c r="AZ25" s="7"/>
      <c r="BA25" s="7"/>
      <c r="BB25" s="7"/>
      <c r="BC25" s="44"/>
    </row>
    <row r="26" spans="1:55" x14ac:dyDescent="0.2">
      <c r="A26" s="17" t="s">
        <v>28</v>
      </c>
      <c r="B26" s="7">
        <v>0</v>
      </c>
      <c r="C26" s="7"/>
      <c r="D26" s="19">
        <v>8800</v>
      </c>
      <c r="E26" s="19">
        <v>0</v>
      </c>
      <c r="F26" s="20">
        <f t="shared" si="0"/>
        <v>0</v>
      </c>
      <c r="G26" s="16">
        <f t="shared" si="1"/>
        <v>0</v>
      </c>
      <c r="H26" s="20"/>
      <c r="I26" s="17" t="s">
        <v>28</v>
      </c>
      <c r="J26" s="20">
        <v>0</v>
      </c>
      <c r="K26" s="17" t="s">
        <v>23</v>
      </c>
      <c r="L26" s="20">
        <v>0</v>
      </c>
      <c r="M26" s="20">
        <v>0</v>
      </c>
      <c r="N26" s="35"/>
      <c r="O26" s="29"/>
      <c r="P26" s="2"/>
      <c r="Q26" s="2"/>
      <c r="R26" s="2"/>
      <c r="S26" s="1"/>
      <c r="U26" s="42"/>
      <c r="V26" s="7"/>
      <c r="W26" s="7"/>
      <c r="X26" s="7"/>
      <c r="Y26" s="44"/>
      <c r="AA26" s="42"/>
      <c r="AB26" s="7"/>
      <c r="AC26" s="7"/>
      <c r="AD26" s="7"/>
      <c r="AE26" s="44"/>
      <c r="AG26" s="42"/>
      <c r="AH26" s="7"/>
      <c r="AI26" s="7"/>
      <c r="AJ26" s="7"/>
      <c r="AK26" s="44"/>
      <c r="AM26" s="42"/>
      <c r="AN26" s="7"/>
      <c r="AO26" s="7"/>
      <c r="AP26" s="7"/>
      <c r="AQ26" s="1"/>
      <c r="AS26" s="42"/>
      <c r="AT26" s="7"/>
      <c r="AU26" s="7"/>
      <c r="AV26" s="7"/>
      <c r="AW26" s="44"/>
      <c r="AX26" s="72"/>
      <c r="AY26" s="42"/>
      <c r="AZ26" s="7"/>
      <c r="BA26" s="7"/>
      <c r="BB26" s="7"/>
      <c r="BC26" s="1"/>
    </row>
    <row r="27" spans="1:55" x14ac:dyDescent="0.2">
      <c r="A27" s="17" t="s">
        <v>29</v>
      </c>
      <c r="B27" s="7">
        <v>0</v>
      </c>
      <c r="C27" s="7"/>
      <c r="D27" s="17">
        <v>8760</v>
      </c>
      <c r="E27" s="19">
        <v>0</v>
      </c>
      <c r="F27" s="20">
        <f t="shared" si="0"/>
        <v>0</v>
      </c>
      <c r="G27" s="16">
        <f t="shared" si="1"/>
        <v>0</v>
      </c>
      <c r="H27" s="20"/>
      <c r="I27" s="17" t="s">
        <v>29</v>
      </c>
      <c r="J27" s="20">
        <v>0</v>
      </c>
      <c r="K27" s="20" t="s">
        <v>10</v>
      </c>
      <c r="L27" s="20">
        <v>0</v>
      </c>
      <c r="M27" s="20">
        <v>0</v>
      </c>
      <c r="N27" s="35"/>
      <c r="O27" s="29"/>
      <c r="P27" s="2"/>
      <c r="Q27" s="2"/>
      <c r="R27" s="2"/>
      <c r="S27" s="1"/>
      <c r="U27" s="42"/>
      <c r="V27" s="7"/>
      <c r="W27" s="7"/>
      <c r="X27" s="7"/>
      <c r="Y27" s="44"/>
      <c r="AA27" s="42"/>
      <c r="AB27" s="7"/>
      <c r="AC27" s="7"/>
      <c r="AD27" s="7"/>
      <c r="AE27" s="44"/>
      <c r="AG27" s="42"/>
      <c r="AH27" s="7"/>
      <c r="AI27" s="7"/>
      <c r="AJ27" s="7"/>
      <c r="AK27" s="44"/>
      <c r="AM27" s="42"/>
      <c r="AN27" s="7"/>
      <c r="AO27" s="7"/>
      <c r="AP27" s="7"/>
      <c r="AQ27" s="1"/>
      <c r="AS27" s="42"/>
      <c r="AT27" s="7"/>
      <c r="AU27" s="7"/>
      <c r="AV27" s="7"/>
      <c r="AW27" s="44"/>
      <c r="AX27" s="72"/>
      <c r="AY27" s="42"/>
      <c r="AZ27" s="7"/>
      <c r="BA27" s="7"/>
      <c r="BB27" s="7"/>
      <c r="BC27" s="1"/>
    </row>
    <row r="28" spans="1:55" x14ac:dyDescent="0.2">
      <c r="A28" s="17" t="s">
        <v>30</v>
      </c>
      <c r="B28" s="7">
        <v>0</v>
      </c>
      <c r="C28" s="7"/>
      <c r="D28" s="17">
        <v>7286</v>
      </c>
      <c r="E28" s="20">
        <v>7</v>
      </c>
      <c r="F28" s="20">
        <f t="shared" si="0"/>
        <v>0</v>
      </c>
      <c r="G28" s="16">
        <f t="shared" si="1"/>
        <v>0</v>
      </c>
      <c r="H28" s="20"/>
      <c r="I28" s="17" t="s">
        <v>30</v>
      </c>
      <c r="J28" s="20">
        <f>3*1.0684</f>
        <v>3.2052</v>
      </c>
      <c r="K28" s="20" t="s">
        <v>10</v>
      </c>
      <c r="L28" s="16">
        <f>$J28*D28/365</f>
        <v>63.981060821917815</v>
      </c>
      <c r="M28" s="30">
        <f>$J28*E28/365</f>
        <v>6.1469589041095889E-2</v>
      </c>
      <c r="N28" s="35"/>
      <c r="O28" s="29"/>
      <c r="P28" s="2"/>
      <c r="Q28" s="29">
        <f>11.5950755104334/112.53</f>
        <v>0.10303986057436594</v>
      </c>
      <c r="R28" s="39">
        <f>Q28*$J28</f>
        <v>0.33026336111295773</v>
      </c>
      <c r="S28" s="1"/>
      <c r="U28" s="42"/>
      <c r="V28" s="7"/>
      <c r="W28" s="42">
        <f>9.5668/117.11</f>
        <v>8.1690718128255499E-2</v>
      </c>
      <c r="X28" s="43">
        <f>W28*$J28</f>
        <v>0.2618350897446845</v>
      </c>
      <c r="Y28" s="44"/>
      <c r="AA28" s="42"/>
      <c r="AB28" s="7"/>
      <c r="AC28" s="42">
        <f>11.8128/115.288</f>
        <v>0.10246339601693151</v>
      </c>
      <c r="AD28" s="43">
        <f>AC28*$J28</f>
        <v>0.3284156769134689</v>
      </c>
      <c r="AE28" s="44"/>
      <c r="AG28" s="42"/>
      <c r="AH28" s="7"/>
      <c r="AI28" s="42">
        <f>9.5668/114.76</f>
        <v>8.3363541303590097E-2</v>
      </c>
      <c r="AJ28" s="43">
        <f>AI28*$J28</f>
        <v>0.26719682258626698</v>
      </c>
      <c r="AK28" s="44"/>
      <c r="AM28" s="42"/>
      <c r="AN28" s="7"/>
      <c r="AO28" s="42">
        <f>13.75826/114.2</f>
        <v>0.12047513134851139</v>
      </c>
      <c r="AP28" s="43">
        <f>AO28*$J28</f>
        <v>0.38614689099824873</v>
      </c>
      <c r="AQ28" s="1"/>
      <c r="AR28">
        <v>13.758262933166652</v>
      </c>
      <c r="AS28" s="42"/>
      <c r="AT28" s="7"/>
      <c r="AU28" s="42">
        <f>18.2043/159</f>
        <v>0.11449245283018868</v>
      </c>
      <c r="AV28" s="43">
        <f>AU28*$J28</f>
        <v>0.36697120981132075</v>
      </c>
      <c r="AW28" s="44"/>
      <c r="AX28" s="72"/>
      <c r="AY28" s="42"/>
      <c r="AZ28" s="7"/>
      <c r="BA28" s="42">
        <f>34.6962/276.4</f>
        <v>0.12552894356005789</v>
      </c>
      <c r="BB28" s="43">
        <f>BA28*$J28</f>
        <v>0.40234536989869757</v>
      </c>
      <c r="BC28" s="1"/>
    </row>
    <row r="29" spans="1:55" x14ac:dyDescent="0.2">
      <c r="A29" s="17" t="s">
        <v>31</v>
      </c>
      <c r="B29" s="7">
        <v>0</v>
      </c>
      <c r="C29" s="7"/>
      <c r="D29" s="17">
        <v>3750</v>
      </c>
      <c r="E29" s="7">
        <v>214</v>
      </c>
      <c r="F29" s="20">
        <f t="shared" si="0"/>
        <v>0</v>
      </c>
      <c r="G29" s="16">
        <f t="shared" si="1"/>
        <v>0</v>
      </c>
      <c r="H29" s="20"/>
      <c r="I29" s="17" t="s">
        <v>31</v>
      </c>
      <c r="J29" s="20">
        <v>0</v>
      </c>
      <c r="K29" s="20" t="s">
        <v>10</v>
      </c>
      <c r="L29" s="20">
        <v>0</v>
      </c>
      <c r="M29" s="20">
        <v>0</v>
      </c>
      <c r="N29" s="35"/>
      <c r="O29" s="29"/>
      <c r="P29" s="2"/>
      <c r="Q29" s="29"/>
      <c r="R29" s="2"/>
      <c r="S29" s="1"/>
      <c r="U29" s="42"/>
      <c r="V29" s="7"/>
      <c r="W29" s="42"/>
      <c r="X29" s="7"/>
      <c r="Y29" s="44"/>
      <c r="AA29" s="42"/>
      <c r="AB29" s="7"/>
      <c r="AC29" s="42"/>
      <c r="AD29" s="7"/>
      <c r="AE29" s="44"/>
      <c r="AG29" s="42"/>
      <c r="AH29" s="7"/>
      <c r="AI29" s="42"/>
      <c r="AJ29" s="7"/>
      <c r="AK29" s="44"/>
      <c r="AM29" s="42"/>
      <c r="AN29" s="7"/>
      <c r="AO29" s="42"/>
      <c r="AP29" s="7"/>
      <c r="AQ29" s="1"/>
      <c r="AS29" s="42"/>
      <c r="AT29" s="7"/>
      <c r="AU29" s="42"/>
      <c r="AV29" s="7"/>
      <c r="AW29" s="44"/>
      <c r="AX29" s="72"/>
      <c r="AY29" s="42"/>
      <c r="AZ29" s="7"/>
      <c r="BA29" s="42"/>
      <c r="BB29" s="7"/>
      <c r="BC29" s="1"/>
    </row>
    <row r="30" spans="1:55" x14ac:dyDescent="0.2">
      <c r="A30" s="17" t="s">
        <v>32</v>
      </c>
      <c r="B30" s="17">
        <v>0</v>
      </c>
      <c r="C30" s="17"/>
      <c r="D30" s="17">
        <v>79</v>
      </c>
      <c r="E30" s="60">
        <v>6.25</v>
      </c>
      <c r="F30" s="61">
        <f t="shared" si="0"/>
        <v>0</v>
      </c>
      <c r="G30" s="16">
        <f t="shared" si="1"/>
        <v>0</v>
      </c>
      <c r="H30" s="61"/>
      <c r="I30" s="17" t="s">
        <v>32</v>
      </c>
      <c r="J30" s="61">
        <v>0</v>
      </c>
      <c r="K30" s="61" t="s">
        <v>33</v>
      </c>
      <c r="L30" s="61">
        <v>0</v>
      </c>
      <c r="M30" s="61">
        <v>0</v>
      </c>
      <c r="N30" s="35"/>
      <c r="O30" s="29"/>
      <c r="P30" s="12"/>
      <c r="Q30" s="29"/>
      <c r="R30" s="12"/>
      <c r="S30" s="62"/>
      <c r="T30" s="63"/>
      <c r="U30" s="42"/>
      <c r="V30" s="60"/>
      <c r="W30" s="42"/>
      <c r="X30" s="60"/>
      <c r="Y30" s="102"/>
      <c r="AA30" s="42"/>
      <c r="AB30" s="60"/>
      <c r="AC30" s="42"/>
      <c r="AD30" s="60"/>
      <c r="AE30" s="102"/>
      <c r="AG30" s="42"/>
      <c r="AH30" s="60"/>
      <c r="AI30" s="42"/>
      <c r="AJ30" s="60"/>
      <c r="AK30" s="102"/>
      <c r="AL30" s="63"/>
      <c r="AM30" s="42"/>
      <c r="AN30" s="60"/>
      <c r="AO30" s="42"/>
      <c r="AP30" s="60"/>
      <c r="AQ30" s="62"/>
      <c r="AS30" s="42"/>
      <c r="AT30" s="60"/>
      <c r="AU30" s="42"/>
      <c r="AV30" s="60"/>
      <c r="AW30" s="102"/>
      <c r="AX30" s="72"/>
      <c r="AY30" s="42"/>
      <c r="AZ30" s="60"/>
      <c r="BA30" s="42"/>
      <c r="BB30" s="60"/>
      <c r="BC30" s="62"/>
    </row>
    <row r="31" spans="1:55" x14ac:dyDescent="0.2">
      <c r="A31" s="17" t="s">
        <v>60</v>
      </c>
      <c r="B31" s="17">
        <v>3</v>
      </c>
      <c r="C31" s="17" t="s">
        <v>10</v>
      </c>
      <c r="D31" s="17"/>
      <c r="E31" s="60"/>
      <c r="F31" s="61"/>
      <c r="G31" s="61"/>
      <c r="H31" s="61"/>
      <c r="I31" s="17" t="s">
        <v>60</v>
      </c>
      <c r="J31" s="61">
        <v>3</v>
      </c>
      <c r="K31" s="61" t="s">
        <v>10</v>
      </c>
      <c r="L31" s="61"/>
      <c r="M31" s="61"/>
      <c r="N31" s="35"/>
      <c r="O31" s="46">
        <v>3.6447306992736356E-3</v>
      </c>
      <c r="P31" s="78">
        <f>O31*$B31</f>
        <v>1.0934192097820906E-2</v>
      </c>
      <c r="Q31" s="46">
        <f>4.70384200047416/112.53</f>
        <v>4.1800782017898871E-2</v>
      </c>
      <c r="R31" s="78">
        <f>Q31*$J31</f>
        <v>0.1254023460536966</v>
      </c>
      <c r="S31" s="62"/>
      <c r="T31" s="63"/>
      <c r="U31" s="81">
        <v>6.6988820369746141E-3</v>
      </c>
      <c r="V31" s="82">
        <f>U31*$B31</f>
        <v>2.0096646110923842E-2</v>
      </c>
      <c r="W31" s="81">
        <f>0.331/117.11</f>
        <v>2.8264025275382119E-3</v>
      </c>
      <c r="X31" s="82">
        <f>W31*$J31</f>
        <v>8.4792075826146361E-3</v>
      </c>
      <c r="Y31" s="102"/>
      <c r="AA31" s="81">
        <v>7.7560139865002565E-3</v>
      </c>
      <c r="AB31" s="82">
        <f>AA31*$B31</f>
        <v>2.326804195950077E-2</v>
      </c>
      <c r="AC31" s="81">
        <f>0.48491/115.288</f>
        <v>4.2060752203178127E-3</v>
      </c>
      <c r="AD31" s="82">
        <f>AC31*$J31</f>
        <v>1.2618225660953438E-2</v>
      </c>
      <c r="AE31" s="102"/>
      <c r="AG31" s="81">
        <v>8.8678437401305838E-3</v>
      </c>
      <c r="AH31" s="82">
        <f>AG31*$B31</f>
        <v>2.6603531220391753E-2</v>
      </c>
      <c r="AI31" s="81">
        <f>0.331/114.76</f>
        <v>2.8842802370163821E-3</v>
      </c>
      <c r="AJ31" s="82">
        <f>AI31*$J31</f>
        <v>8.6528407110491468E-3</v>
      </c>
      <c r="AK31" s="102"/>
      <c r="AL31" s="63"/>
      <c r="AM31" s="81">
        <v>8.5570414182422425E-3</v>
      </c>
      <c r="AN31" s="82">
        <f>AM31*$B31</f>
        <v>2.5671124254726729E-2</v>
      </c>
      <c r="AO31" s="81">
        <f>0.351937342348617/114.2</f>
        <v>3.081763067851287E-3</v>
      </c>
      <c r="AP31" s="82">
        <f>AO31*$J31</f>
        <v>9.2452892035538616E-3</v>
      </c>
      <c r="AQ31" s="62"/>
      <c r="AS31" s="81">
        <v>9.3638445824015155E-3</v>
      </c>
      <c r="AT31" s="82">
        <f>AS31*$B31</f>
        <v>2.8091533747204547E-2</v>
      </c>
      <c r="AU31" s="81">
        <f>0.346/159</f>
        <v>2.1761006289308174E-3</v>
      </c>
      <c r="AV31" s="82">
        <f>AU31*$J31</f>
        <v>6.5283018867924522E-3</v>
      </c>
      <c r="AW31" s="102"/>
      <c r="AX31" s="72"/>
      <c r="AY31" s="81">
        <v>9.3638445824015155E-3</v>
      </c>
      <c r="AZ31" s="82">
        <f>AY31*$B31</f>
        <v>2.8091533747204547E-2</v>
      </c>
      <c r="BA31" s="81">
        <f>0.2681/276.4</f>
        <v>9.6997105643994216E-4</v>
      </c>
      <c r="BB31" s="82">
        <f>BA31*$J31</f>
        <v>2.9099131693198265E-3</v>
      </c>
      <c r="BC31" s="62"/>
    </row>
    <row r="32" spans="1:55" x14ac:dyDescent="0.2">
      <c r="A32" s="17" t="s">
        <v>34</v>
      </c>
      <c r="B32" s="17">
        <v>0</v>
      </c>
      <c r="C32" s="17"/>
      <c r="D32" s="7"/>
      <c r="E32" s="7"/>
      <c r="F32" s="2"/>
      <c r="G32" s="2"/>
      <c r="H32" s="2"/>
      <c r="I32" s="17" t="s">
        <v>34</v>
      </c>
      <c r="J32" s="17">
        <v>0</v>
      </c>
      <c r="K32" s="20" t="s">
        <v>10</v>
      </c>
      <c r="L32" s="20"/>
      <c r="M32" s="20"/>
      <c r="N32" s="35"/>
      <c r="O32" s="29"/>
      <c r="P32" s="2"/>
      <c r="Q32" s="2" t="s">
        <v>72</v>
      </c>
      <c r="R32" s="2"/>
      <c r="S32" s="1"/>
      <c r="U32" s="42"/>
      <c r="V32" s="7"/>
      <c r="W32" s="7"/>
      <c r="X32" s="7"/>
      <c r="Y32" s="44"/>
      <c r="AA32" s="42"/>
      <c r="AB32" s="7"/>
      <c r="AC32" s="7"/>
      <c r="AD32" s="7"/>
      <c r="AE32" s="44"/>
      <c r="AG32" s="42"/>
      <c r="AH32" s="7"/>
      <c r="AI32" s="7"/>
      <c r="AJ32" s="7"/>
      <c r="AK32" s="44"/>
      <c r="AM32" s="42"/>
      <c r="AN32" s="7"/>
      <c r="AO32" s="7"/>
      <c r="AP32" s="7"/>
      <c r="AQ32" s="1"/>
      <c r="AS32" s="42"/>
      <c r="AT32" s="7"/>
      <c r="AU32" s="7"/>
      <c r="AV32" s="7"/>
      <c r="AW32" s="44"/>
      <c r="AX32" s="72"/>
      <c r="AY32" s="42"/>
      <c r="AZ32" s="7"/>
      <c r="BA32" s="7"/>
      <c r="BB32" s="7"/>
      <c r="BC32" s="1"/>
    </row>
    <row r="33" spans="1:56" x14ac:dyDescent="0.2">
      <c r="A33" s="17" t="s">
        <v>35</v>
      </c>
      <c r="B33" s="17">
        <v>3</v>
      </c>
      <c r="C33" s="17" t="s">
        <v>62</v>
      </c>
      <c r="D33" s="7"/>
      <c r="E33" s="7"/>
      <c r="F33" s="2"/>
      <c r="G33" s="2"/>
      <c r="H33" s="2"/>
      <c r="I33" s="17" t="s">
        <v>35</v>
      </c>
      <c r="J33" s="17">
        <v>3</v>
      </c>
      <c r="K33" s="20" t="s">
        <v>36</v>
      </c>
      <c r="L33" s="20"/>
      <c r="M33" s="20"/>
      <c r="N33" s="35"/>
      <c r="O33" s="29">
        <v>1.3227665854426932E-2</v>
      </c>
      <c r="P33" s="39">
        <f>O33*$B33</f>
        <v>3.9682997563280795E-2</v>
      </c>
      <c r="Q33" s="29">
        <f>3.1622313235548/112.53</f>
        <v>2.8101229214918689E-2</v>
      </c>
      <c r="R33" s="39">
        <f>Q33*$J33</f>
        <v>8.430368764475607E-2</v>
      </c>
      <c r="S33" s="41">
        <f>O33/Q33</f>
        <v>0.47071484856628559</v>
      </c>
      <c r="U33" s="42">
        <v>1.071821125915938E-2</v>
      </c>
      <c r="V33" s="43">
        <f>U33*$B33</f>
        <v>3.2154633777478139E-2</v>
      </c>
      <c r="W33" s="42">
        <f>1.275505/117.11</f>
        <v>1.0891512253436941E-2</v>
      </c>
      <c r="X33" s="43">
        <f>W33*$J33</f>
        <v>3.2674536760310818E-2</v>
      </c>
      <c r="Y33" s="45">
        <f>U33/W33</f>
        <v>0.9840884359999803</v>
      </c>
      <c r="AA33" s="42">
        <v>7.1141369669278209E-3</v>
      </c>
      <c r="AB33" s="43">
        <f>AA33*$B33</f>
        <v>2.1342410900783461E-2</v>
      </c>
      <c r="AC33" s="42">
        <f>1.5509/115.288</f>
        <v>1.345239747415169E-2</v>
      </c>
      <c r="AD33" s="43">
        <f>AC33*$J33</f>
        <v>4.0357192422455071E-2</v>
      </c>
      <c r="AE33" s="45">
        <f>AA33/AC33</f>
        <v>0.52883785069519285</v>
      </c>
      <c r="AG33" s="42">
        <v>6.1379683236820375E-3</v>
      </c>
      <c r="AH33" s="43">
        <f>AG33*$B33</f>
        <v>1.8413904971046113E-2</v>
      </c>
      <c r="AI33" s="42">
        <f>1.275505/114.76</f>
        <v>1.1114543394911119E-2</v>
      </c>
      <c r="AJ33" s="43">
        <f>AI33*$J33</f>
        <v>3.3343630184733353E-2</v>
      </c>
      <c r="AK33" s="45">
        <f>AG33/AI33</f>
        <v>0.55224655710934145</v>
      </c>
      <c r="AM33" s="42">
        <v>6.0129479345964205E-3</v>
      </c>
      <c r="AN33" s="43">
        <f>AM33*$B33</f>
        <v>1.8038843803789263E-2</v>
      </c>
      <c r="AO33" s="42">
        <f>1.57866/114.2</f>
        <v>1.3823642732049037E-2</v>
      </c>
      <c r="AP33" s="43">
        <f>AO33*$J33</f>
        <v>4.147092819614711E-2</v>
      </c>
      <c r="AQ33" s="41">
        <f>AM33/AO33</f>
        <v>0.43497564651724324</v>
      </c>
      <c r="AR33">
        <v>1.5786606993259185</v>
      </c>
      <c r="AS33" s="42">
        <v>2.7364983869494161E-3</v>
      </c>
      <c r="AT33" s="43">
        <f>AS33*$B33</f>
        <v>8.2094951608482486E-3</v>
      </c>
      <c r="AU33" s="42">
        <f>1.10858/159</f>
        <v>6.9722012578616347E-3</v>
      </c>
      <c r="AV33" s="43">
        <f>AU33*$J33</f>
        <v>2.0916603773584903E-2</v>
      </c>
      <c r="AW33" s="45">
        <f>AS33/AU33</f>
        <v>0.39248700456886937</v>
      </c>
      <c r="AX33" s="72"/>
      <c r="AY33" s="42">
        <v>2.7364983869494161E-3</v>
      </c>
      <c r="AZ33" s="43">
        <f>AY33*$B33</f>
        <v>8.2094951608482486E-3</v>
      </c>
      <c r="BA33" s="42">
        <f>1.366/276.417</f>
        <v>4.9418089336039396E-3</v>
      </c>
      <c r="BB33" s="43">
        <f>BA33*$J33</f>
        <v>1.4825426800811819E-2</v>
      </c>
      <c r="BC33" s="41">
        <f>AY33/BA33</f>
        <v>0.55374427132166659</v>
      </c>
    </row>
    <row r="34" spans="1:56" x14ac:dyDescent="0.2">
      <c r="A34" s="17" t="s">
        <v>37</v>
      </c>
      <c r="B34" s="17">
        <v>0</v>
      </c>
      <c r="C34" s="17"/>
      <c r="D34" s="7"/>
      <c r="E34" s="7"/>
      <c r="F34" s="2"/>
      <c r="G34" s="2"/>
      <c r="H34" s="2"/>
      <c r="I34" s="17" t="s">
        <v>37</v>
      </c>
      <c r="J34" s="17">
        <v>0</v>
      </c>
      <c r="K34" s="20" t="s">
        <v>36</v>
      </c>
      <c r="L34" s="20"/>
      <c r="M34" s="20"/>
      <c r="N34" s="35"/>
      <c r="O34" s="29"/>
      <c r="P34" s="2"/>
      <c r="Q34" s="2"/>
      <c r="R34" s="2"/>
      <c r="S34" s="2"/>
      <c r="U34" s="42"/>
      <c r="V34" s="7"/>
      <c r="W34" s="7"/>
      <c r="X34" s="7"/>
      <c r="Y34" s="7"/>
      <c r="AA34" s="42"/>
      <c r="AB34" s="7"/>
      <c r="AC34" s="7"/>
      <c r="AD34" s="7"/>
      <c r="AE34" s="7"/>
      <c r="AG34" s="42"/>
      <c r="AH34" s="7"/>
      <c r="AI34" s="7"/>
      <c r="AJ34" s="7"/>
      <c r="AK34" s="7"/>
      <c r="AM34" s="42"/>
      <c r="AN34" s="7"/>
      <c r="AO34" s="7"/>
      <c r="AP34" s="7"/>
      <c r="AQ34" s="2"/>
      <c r="AS34" s="42"/>
      <c r="AT34" s="7"/>
      <c r="AU34" s="7"/>
      <c r="AV34" s="7"/>
      <c r="AW34" s="7"/>
      <c r="AX34" s="72"/>
      <c r="AY34" s="42"/>
      <c r="AZ34" s="7"/>
      <c r="BA34" s="7"/>
      <c r="BB34" s="7"/>
      <c r="BC34" s="2"/>
    </row>
    <row r="35" spans="1:56" x14ac:dyDescent="0.2">
      <c r="A35" s="17" t="s">
        <v>38</v>
      </c>
      <c r="B35" s="17">
        <v>0</v>
      </c>
      <c r="C35" s="17"/>
      <c r="D35" s="7"/>
      <c r="E35" s="7"/>
      <c r="F35" s="2"/>
      <c r="G35" s="2"/>
      <c r="H35" s="2"/>
      <c r="I35" s="17" t="s">
        <v>38</v>
      </c>
      <c r="J35" s="17">
        <v>0</v>
      </c>
      <c r="K35" s="20" t="s">
        <v>10</v>
      </c>
      <c r="L35" s="20"/>
      <c r="M35" s="20"/>
      <c r="N35" s="35"/>
      <c r="O35" s="29"/>
      <c r="P35" s="2"/>
      <c r="Q35" s="2"/>
      <c r="R35" s="2"/>
      <c r="S35" s="2"/>
      <c r="U35" s="42"/>
      <c r="V35" s="7"/>
      <c r="W35" s="7"/>
      <c r="X35" s="7"/>
      <c r="Y35" s="7"/>
      <c r="AA35" s="42"/>
      <c r="AB35" s="7"/>
      <c r="AC35" s="7"/>
      <c r="AD35" s="7"/>
      <c r="AE35" s="7"/>
      <c r="AG35" s="42"/>
      <c r="AH35" s="7"/>
      <c r="AI35" s="7"/>
      <c r="AJ35" s="7"/>
      <c r="AK35" s="7"/>
      <c r="AM35" s="42"/>
      <c r="AN35" s="7"/>
      <c r="AO35" s="7"/>
      <c r="AP35" s="7"/>
      <c r="AQ35" s="2"/>
      <c r="AS35" s="42"/>
      <c r="AT35" s="7"/>
      <c r="AU35" s="7"/>
      <c r="AV35" s="7"/>
      <c r="AW35" s="7"/>
      <c r="AX35" s="72"/>
      <c r="AY35" s="42"/>
      <c r="AZ35" s="7"/>
      <c r="BA35" s="7"/>
      <c r="BB35" s="7"/>
      <c r="BC35" s="2"/>
    </row>
    <row r="36" spans="1:56" x14ac:dyDescent="0.2">
      <c r="A36" s="17" t="s">
        <v>39</v>
      </c>
      <c r="B36" s="17">
        <v>2.6</v>
      </c>
      <c r="C36" s="17" t="s">
        <v>61</v>
      </c>
      <c r="D36" s="7"/>
      <c r="E36" s="7"/>
      <c r="F36" s="2"/>
      <c r="G36" s="2"/>
      <c r="H36" s="2"/>
      <c r="I36" s="17" t="s">
        <v>39</v>
      </c>
      <c r="J36" s="17">
        <v>2.6</v>
      </c>
      <c r="K36" s="17" t="s">
        <v>23</v>
      </c>
      <c r="L36" s="20"/>
      <c r="M36" s="20"/>
      <c r="N36" s="35"/>
      <c r="O36" s="42">
        <v>3.1267417396770851E-2</v>
      </c>
      <c r="P36" s="39">
        <f>O36*$B36</f>
        <v>8.1295285231604217E-2</v>
      </c>
      <c r="Q36" s="42">
        <f>11.2405462999159/112.53</f>
        <v>9.9889329955708706E-2</v>
      </c>
      <c r="R36" s="39">
        <f>Q36*$J36</f>
        <v>0.25971225788484265</v>
      </c>
      <c r="S36" s="7"/>
      <c r="T36" s="72"/>
      <c r="U36" s="42">
        <v>2.6776495203056434E-2</v>
      </c>
      <c r="V36" s="43">
        <f>U36*$B36</f>
        <v>6.9618887527946732E-2</v>
      </c>
      <c r="W36" s="42">
        <f>9.6082/117.11</f>
        <v>8.204423191870891E-2</v>
      </c>
      <c r="X36" s="43">
        <f>W36*$J36</f>
        <v>0.21331500298864317</v>
      </c>
      <c r="Y36" s="7"/>
      <c r="AA36" s="42">
        <v>3.5736340974538858E-2</v>
      </c>
      <c r="AB36" s="43">
        <f>AA36*$B36</f>
        <v>9.2914486533801036E-2</v>
      </c>
      <c r="AC36" s="42">
        <f>10.7269/115.288</f>
        <v>9.304437582402332E-2</v>
      </c>
      <c r="AD36" s="43">
        <f>AC36*$J36</f>
        <v>0.24191537714246064</v>
      </c>
      <c r="AE36" s="7"/>
      <c r="AG36" s="42">
        <v>2.5446873030516147E-2</v>
      </c>
      <c r="AH36" s="43">
        <f>AG36*$B36</f>
        <v>6.6161869879341986E-2</v>
      </c>
      <c r="AI36" s="42">
        <f>9.6082/114.76</f>
        <v>8.37242941791565E-2</v>
      </c>
      <c r="AJ36" s="43">
        <f>AI36*$J36</f>
        <v>0.21768316486580691</v>
      </c>
      <c r="AK36" s="7"/>
      <c r="AL36" s="72"/>
      <c r="AM36" s="42">
        <v>3.0612518429164997E-2</v>
      </c>
      <c r="AN36" s="43">
        <f>AM36*$B36</f>
        <v>7.9592547915828996E-2</v>
      </c>
      <c r="AO36" s="42">
        <f>12.6349/114.2</f>
        <v>0.11063835376532399</v>
      </c>
      <c r="AP36" s="43">
        <f>AO36*$J36</f>
        <v>0.28765971978984239</v>
      </c>
      <c r="AQ36" s="7"/>
      <c r="AS36" s="42">
        <v>2.5992086485770567E-2</v>
      </c>
      <c r="AT36" s="43">
        <f>AS36*$B36</f>
        <v>6.7579424863003473E-2</v>
      </c>
      <c r="AU36" s="42">
        <f>2.8369/159</f>
        <v>1.7842138364779873E-2</v>
      </c>
      <c r="AV36" s="43">
        <f>AU36*$J36</f>
        <v>4.6389559748427671E-2</v>
      </c>
      <c r="AW36" s="7"/>
      <c r="AX36" s="72"/>
      <c r="AY36" s="42">
        <v>2.5992086485770567E-2</v>
      </c>
      <c r="AZ36" s="43">
        <f>AY36*$B36</f>
        <v>6.7579424863003473E-2</v>
      </c>
      <c r="BA36" s="42">
        <f>3.4528/276.417</f>
        <v>1.2491272244471217E-2</v>
      </c>
      <c r="BB36" s="43">
        <f>BA36*$J36</f>
        <v>3.2477307835625163E-2</v>
      </c>
      <c r="BC36" s="7"/>
    </row>
    <row r="37" spans="1:56" x14ac:dyDescent="0.2">
      <c r="A37" s="22" t="s">
        <v>64</v>
      </c>
      <c r="B37" s="22">
        <v>3</v>
      </c>
      <c r="C37" s="22" t="s">
        <v>63</v>
      </c>
      <c r="D37" s="23"/>
      <c r="E37" s="23"/>
      <c r="F37" s="25"/>
      <c r="G37" s="25"/>
      <c r="H37" s="2"/>
      <c r="I37" s="22" t="s">
        <v>40</v>
      </c>
      <c r="J37" s="22">
        <v>0</v>
      </c>
      <c r="K37" s="24" t="s">
        <v>41</v>
      </c>
      <c r="L37" s="24"/>
      <c r="M37" s="24"/>
      <c r="N37" s="35"/>
      <c r="O37" s="46"/>
      <c r="P37" s="25"/>
      <c r="Q37" s="23"/>
      <c r="R37" s="25"/>
      <c r="S37" s="2"/>
      <c r="U37" s="81"/>
      <c r="V37" s="23"/>
      <c r="W37" s="23"/>
      <c r="X37" s="23"/>
      <c r="Y37" s="7"/>
      <c r="AA37" s="81"/>
      <c r="AB37" s="23"/>
      <c r="AC37" s="23"/>
      <c r="AD37" s="23"/>
      <c r="AE37" s="7"/>
      <c r="AG37" s="81"/>
      <c r="AH37" s="23"/>
      <c r="AI37" s="23"/>
      <c r="AJ37" s="23"/>
      <c r="AK37" s="7"/>
      <c r="AM37" s="81"/>
      <c r="AN37" s="23"/>
      <c r="AO37" s="23"/>
      <c r="AP37" s="23"/>
      <c r="AQ37" s="2"/>
      <c r="AS37" s="81"/>
      <c r="AT37" s="23"/>
      <c r="AU37" s="23"/>
      <c r="AV37" s="23"/>
      <c r="AW37" s="7"/>
      <c r="AX37" s="72"/>
      <c r="AY37" s="81"/>
      <c r="AZ37" s="23"/>
      <c r="BA37" s="23"/>
      <c r="BB37" s="23"/>
      <c r="BC37" s="2"/>
    </row>
    <row r="38" spans="1:56" x14ac:dyDescent="0.2">
      <c r="A38" s="2" t="s">
        <v>42</v>
      </c>
      <c r="B38" s="17">
        <v>2</v>
      </c>
      <c r="C38" s="17" t="s">
        <v>10</v>
      </c>
      <c r="D38" s="7">
        <v>3750</v>
      </c>
      <c r="E38" s="20">
        <v>0</v>
      </c>
      <c r="F38" s="16">
        <f>B38*D38/365</f>
        <v>20.547945205479451</v>
      </c>
      <c r="G38" s="16">
        <f t="shared" ref="G38" si="2">$B38*E38/365</f>
        <v>0</v>
      </c>
      <c r="H38" s="16"/>
      <c r="I38" s="2" t="s">
        <v>42</v>
      </c>
      <c r="J38" s="2">
        <v>2</v>
      </c>
      <c r="K38" s="2" t="s">
        <v>10</v>
      </c>
      <c r="L38" s="16">
        <f>$J38*D38/365</f>
        <v>20.547945205479451</v>
      </c>
      <c r="M38" s="16">
        <f>$J38*E38/365</f>
        <v>0</v>
      </c>
      <c r="N38" s="30" t="s">
        <v>48</v>
      </c>
      <c r="O38" s="29">
        <v>1.8157352365054759E-2</v>
      </c>
      <c r="P38" s="39">
        <f>O38*$B38</f>
        <v>3.6314704730109518E-2</v>
      </c>
      <c r="Q38" s="42">
        <f>9.48731229874197/112.53</f>
        <v>8.4309182429058646E-2</v>
      </c>
      <c r="R38" s="39">
        <f>Q38*$J38</f>
        <v>0.16861836485811729</v>
      </c>
      <c r="S38" s="41">
        <f>O38/Q38</f>
        <v>0.21536624887014094</v>
      </c>
      <c r="U38" s="42">
        <v>1.9902646487133059E-2</v>
      </c>
      <c r="V38" s="43">
        <f>U38*$B38</f>
        <v>3.9805292974266118E-2</v>
      </c>
      <c r="W38" s="42">
        <f>5.4342/117.11</f>
        <v>4.6402527538211932E-2</v>
      </c>
      <c r="X38" s="43">
        <f>W38*$J38</f>
        <v>9.2805055076423865E-2</v>
      </c>
      <c r="Y38" s="45">
        <f>U38/W38</f>
        <v>0.42891298261163607</v>
      </c>
      <c r="AA38" s="42">
        <v>1.6498913890593131E-2</v>
      </c>
      <c r="AB38" s="43">
        <f>AA38*$B38</f>
        <v>3.2997827781186262E-2</v>
      </c>
      <c r="AC38" s="42">
        <f>9.0103/115.288</f>
        <v>7.8154708209007023E-2</v>
      </c>
      <c r="AD38" s="43">
        <f>AC38*$J38</f>
        <v>0.15630941641801405</v>
      </c>
      <c r="AE38" s="45">
        <f>AA38/AC38</f>
        <v>0.21110582162843641</v>
      </c>
      <c r="AG38" s="42">
        <v>1.6996550453799521E-2</v>
      </c>
      <c r="AH38" s="43">
        <f>AG38*$B38</f>
        <v>3.3993100907599043E-2</v>
      </c>
      <c r="AI38" s="42">
        <f>5.4342/114.76</f>
        <v>4.7352736144998256E-2</v>
      </c>
      <c r="AJ38" s="43">
        <f>AI38*$J38</f>
        <v>9.4705472289996512E-2</v>
      </c>
      <c r="AK38" s="45">
        <f>AG38/AI38</f>
        <v>0.35893491775754172</v>
      </c>
      <c r="AM38" s="42">
        <v>1.8429164991288032E-2</v>
      </c>
      <c r="AN38" s="43">
        <f>AM38*$B38</f>
        <v>3.6858329982576064E-2</v>
      </c>
      <c r="AO38" s="42">
        <f>5.3198/114.2</f>
        <v>4.6583187390542902E-2</v>
      </c>
      <c r="AP38" s="43">
        <f>AO38*$J38</f>
        <v>9.3166374781085803E-2</v>
      </c>
      <c r="AQ38" s="41">
        <f>AM38/AO38</f>
        <v>0.39561837700761188</v>
      </c>
      <c r="AS38" s="42">
        <v>1.0347168187010579E-2</v>
      </c>
      <c r="AT38" s="43">
        <f>AS38*$B38</f>
        <v>2.0694336374021158E-2</v>
      </c>
      <c r="AU38" s="42">
        <f>3.7249/159</f>
        <v>2.3427044025157231E-2</v>
      </c>
      <c r="AV38" s="43">
        <f>AU38*$J38</f>
        <v>4.6854088050314463E-2</v>
      </c>
      <c r="AW38" s="45">
        <f>AS38/AU38</f>
        <v>0.44167621727688855</v>
      </c>
      <c r="AX38" s="72"/>
      <c r="AY38" s="42">
        <v>1.0347168187010579E-2</v>
      </c>
      <c r="AZ38" s="43">
        <f>AY38*$B38</f>
        <v>2.0694336374021158E-2</v>
      </c>
      <c r="BA38" s="42">
        <f>7.9228/276.417</f>
        <v>2.8662491814902848E-2</v>
      </c>
      <c r="BB38" s="43">
        <f>BA38*$J38</f>
        <v>5.7324983629805697E-2</v>
      </c>
      <c r="BC38" s="41">
        <f>AY38/BA38</f>
        <v>0.36100030150311796</v>
      </c>
    </row>
    <row r="39" spans="1:56" x14ac:dyDescent="0.2">
      <c r="A39" s="2"/>
      <c r="B39" s="2"/>
      <c r="C39" s="2"/>
      <c r="D39" s="7"/>
      <c r="E39" s="7"/>
      <c r="F39" s="2"/>
      <c r="G39" s="2"/>
      <c r="H39" s="2"/>
      <c r="I39" s="2"/>
      <c r="J39" s="2"/>
      <c r="K39" s="2"/>
      <c r="L39" s="2"/>
      <c r="M39" s="2"/>
      <c r="N39" s="47"/>
      <c r="O39" s="48"/>
      <c r="P39" s="1"/>
      <c r="Q39" s="1"/>
      <c r="R39" s="1"/>
      <c r="S39" s="1"/>
      <c r="U39" s="83"/>
      <c r="V39" s="44"/>
      <c r="W39" s="44"/>
      <c r="X39" s="44"/>
      <c r="Y39" s="44"/>
      <c r="AA39" s="83"/>
      <c r="AB39" s="44"/>
      <c r="AC39" s="44"/>
      <c r="AD39" s="44"/>
      <c r="AE39" s="44"/>
      <c r="AG39" s="83"/>
      <c r="AH39" s="44"/>
      <c r="AI39" s="44"/>
      <c r="AJ39" s="44"/>
      <c r="AK39" s="44"/>
      <c r="AM39" s="83"/>
      <c r="AN39" s="44"/>
      <c r="AO39" s="44"/>
      <c r="AP39" s="44"/>
      <c r="AQ39" s="44"/>
      <c r="AR39" s="72"/>
      <c r="AS39" s="83"/>
      <c r="AT39" s="44"/>
      <c r="AU39" s="44"/>
      <c r="AV39" s="44"/>
      <c r="AW39" s="44"/>
      <c r="AX39" s="72"/>
      <c r="AY39" s="83"/>
      <c r="AZ39" s="44"/>
      <c r="BA39" s="44"/>
      <c r="BB39" s="44"/>
      <c r="BC39" s="44"/>
      <c r="BD39" s="72"/>
    </row>
    <row r="40" spans="1:56" x14ac:dyDescent="0.2">
      <c r="A40" s="26" t="s">
        <v>43</v>
      </c>
      <c r="B40" s="2"/>
      <c r="C40" s="2"/>
      <c r="D40" s="97"/>
      <c r="E40" s="97"/>
      <c r="F40" s="27">
        <f>SUM(F10:F38)</f>
        <v>1939.8383561643836</v>
      </c>
      <c r="G40" s="27">
        <f>SUM(G10:G38)</f>
        <v>52.265753424657532</v>
      </c>
      <c r="H40" s="27"/>
      <c r="I40" s="26" t="s">
        <v>43</v>
      </c>
      <c r="J40" s="27"/>
      <c r="K40" s="2"/>
      <c r="L40" s="27">
        <f>SUM(L10:L30)+L38</f>
        <v>1939.9479189748122</v>
      </c>
      <c r="M40" s="27">
        <f>SUM(M10:M38)</f>
        <v>84.552004277507748</v>
      </c>
      <c r="N40" s="47"/>
      <c r="O40" s="48"/>
      <c r="P40" s="1"/>
      <c r="Q40" s="1"/>
      <c r="R40" s="1"/>
      <c r="S40" s="1"/>
      <c r="U40" s="83"/>
      <c r="V40" s="44"/>
      <c r="W40" s="44"/>
      <c r="X40" s="44"/>
      <c r="Y40" s="44"/>
      <c r="AA40" s="83"/>
      <c r="AB40" s="44"/>
      <c r="AC40" s="44"/>
      <c r="AD40" s="44"/>
      <c r="AE40" s="44"/>
      <c r="AG40" s="83"/>
      <c r="AH40" s="44"/>
      <c r="AI40" s="44"/>
      <c r="AJ40" s="44"/>
      <c r="AK40" s="44"/>
      <c r="AM40" s="83"/>
      <c r="AN40" s="44"/>
      <c r="AO40" s="44"/>
      <c r="AP40" s="44"/>
      <c r="AQ40" s="44"/>
      <c r="AR40" s="72"/>
      <c r="AS40" s="83"/>
      <c r="AT40" s="44"/>
      <c r="AU40" s="44"/>
      <c r="AV40" s="44"/>
      <c r="AW40" s="44"/>
      <c r="AX40" s="72"/>
      <c r="AY40" s="83"/>
      <c r="AZ40" s="44"/>
      <c r="BA40" s="44"/>
      <c r="BB40" s="44"/>
      <c r="BC40" s="44"/>
      <c r="BD40" s="72"/>
    </row>
    <row r="41" spans="1:56" x14ac:dyDescent="0.2">
      <c r="B41" s="2"/>
      <c r="C41" s="2"/>
      <c r="D41" s="72"/>
      <c r="E41" s="72"/>
      <c r="G41" t="s">
        <v>65</v>
      </c>
      <c r="N41" s="49"/>
      <c r="O41" s="67" t="s">
        <v>69</v>
      </c>
      <c r="P41" s="50" t="s">
        <v>70</v>
      </c>
      <c r="Q41" s="30"/>
      <c r="R41" s="37" t="s">
        <v>108</v>
      </c>
      <c r="S41" s="51" t="s">
        <v>49</v>
      </c>
      <c r="U41" s="91" t="s">
        <v>121</v>
      </c>
      <c r="V41" s="92" t="s">
        <v>70</v>
      </c>
      <c r="W41" s="93"/>
      <c r="X41" s="94" t="s">
        <v>108</v>
      </c>
      <c r="Y41" s="95" t="s">
        <v>49</v>
      </c>
      <c r="AA41" s="91" t="s">
        <v>133</v>
      </c>
      <c r="AB41" s="92" t="s">
        <v>70</v>
      </c>
      <c r="AC41" s="93"/>
      <c r="AD41" s="94" t="s">
        <v>108</v>
      </c>
      <c r="AE41" s="95" t="s">
        <v>49</v>
      </c>
      <c r="AG41" s="91" t="s">
        <v>112</v>
      </c>
      <c r="AH41" s="92" t="s">
        <v>70</v>
      </c>
      <c r="AI41" s="93"/>
      <c r="AJ41" s="94" t="s">
        <v>108</v>
      </c>
      <c r="AK41" s="95" t="s">
        <v>49</v>
      </c>
      <c r="AM41" s="91" t="s">
        <v>102</v>
      </c>
      <c r="AN41" s="92" t="s">
        <v>70</v>
      </c>
      <c r="AO41" s="93"/>
      <c r="AP41" s="94" t="s">
        <v>108</v>
      </c>
      <c r="AQ41" s="95" t="s">
        <v>49</v>
      </c>
      <c r="AR41" s="72"/>
      <c r="AS41" s="91" t="s">
        <v>152</v>
      </c>
      <c r="AT41" s="92" t="s">
        <v>70</v>
      </c>
      <c r="AU41" s="93"/>
      <c r="AV41" s="94" t="s">
        <v>108</v>
      </c>
      <c r="AW41" s="95" t="s">
        <v>49</v>
      </c>
      <c r="AX41" s="72"/>
      <c r="AY41" s="91" t="s">
        <v>103</v>
      </c>
      <c r="AZ41" s="92" t="s">
        <v>70</v>
      </c>
      <c r="BA41" s="93"/>
      <c r="BB41" s="94" t="s">
        <v>108</v>
      </c>
      <c r="BC41" s="95" t="s">
        <v>49</v>
      </c>
      <c r="BD41" s="72"/>
    </row>
    <row r="42" spans="1:56" x14ac:dyDescent="0.2">
      <c r="D42" s="72"/>
      <c r="E42" s="72"/>
      <c r="N42" s="30"/>
      <c r="O42" s="52" t="s">
        <v>50</v>
      </c>
      <c r="P42" s="39">
        <f>SUM(P9:P38)</f>
        <v>1.1353080983961605</v>
      </c>
      <c r="Q42" s="52" t="s">
        <v>50</v>
      </c>
      <c r="R42" s="39">
        <f>SUM(R9:R38)</f>
        <v>3.0094656422948045</v>
      </c>
      <c r="S42" s="113">
        <f>P42/R42</f>
        <v>0.37724574171594638</v>
      </c>
      <c r="U42" s="96" t="s">
        <v>50</v>
      </c>
      <c r="V42" s="43">
        <f>SUM(V9:V38)</f>
        <v>0.67101784595492919</v>
      </c>
      <c r="W42" s="96" t="s">
        <v>50</v>
      </c>
      <c r="X42" s="43">
        <f>SUM(X9:X38)</f>
        <v>2.1353029387755096</v>
      </c>
      <c r="Y42" s="113">
        <f>V42/X42</f>
        <v>0.31424948365393279</v>
      </c>
      <c r="AA42" s="96" t="s">
        <v>50</v>
      </c>
      <c r="AB42" s="43">
        <f>SUM(AB9:AB38)</f>
        <v>0.97213018458892275</v>
      </c>
      <c r="AC42" s="96" t="s">
        <v>50</v>
      </c>
      <c r="AD42" s="43">
        <f>SUM(AD9:AD38)</f>
        <v>2.6878365741447507</v>
      </c>
      <c r="AE42" s="113">
        <f>AB42/AD42</f>
        <v>0.36167756400823858</v>
      </c>
      <c r="AG42" s="96" t="s">
        <v>50</v>
      </c>
      <c r="AH42" s="43">
        <f>SUM(AH9:AH38)</f>
        <v>1.1649106558303042</v>
      </c>
      <c r="AI42" s="96" t="s">
        <v>50</v>
      </c>
      <c r="AJ42" s="43">
        <f>SUM(AJ9:AJ38)</f>
        <v>2.1790286437783197</v>
      </c>
      <c r="AK42" s="113">
        <f>AH42/AJ42</f>
        <v>0.5346008916204108</v>
      </c>
      <c r="AM42" s="96" t="s">
        <v>50</v>
      </c>
      <c r="AN42" s="43">
        <f>SUM(AN9:AN38)</f>
        <v>1.4534221380089249</v>
      </c>
      <c r="AO42" s="96" t="s">
        <v>50</v>
      </c>
      <c r="AP42" s="43">
        <f>SUM(AP9:AP38)</f>
        <v>2.9462775786754172</v>
      </c>
      <c r="AQ42" s="113">
        <f>AN42/AP42</f>
        <v>0.49330794509265219</v>
      </c>
      <c r="AR42" s="72"/>
      <c r="AS42" s="96" t="s">
        <v>50</v>
      </c>
      <c r="AT42" s="43">
        <f>SUM(AT9:AT38)</f>
        <v>1.4087180650745645</v>
      </c>
      <c r="AU42" s="96" t="s">
        <v>50</v>
      </c>
      <c r="AV42" s="43">
        <f>SUM(AV9:AV38)</f>
        <v>2.0759269959748425</v>
      </c>
      <c r="AW42" s="113">
        <f>AT42/AV42</f>
        <v>0.67859711242544885</v>
      </c>
      <c r="AX42" s="72"/>
      <c r="AY42" s="96" t="s">
        <v>50</v>
      </c>
      <c r="AZ42" s="43">
        <f>SUM(AZ9:AZ38)</f>
        <v>1.4087180650745645</v>
      </c>
      <c r="BA42" s="96" t="s">
        <v>50</v>
      </c>
      <c r="BB42" s="43">
        <f>SUM(BB9:BB38)</f>
        <v>1.9973807445850362</v>
      </c>
      <c r="BC42" s="113">
        <f>AZ42/BB42</f>
        <v>0.70528269029009349</v>
      </c>
      <c r="BD42" s="72"/>
    </row>
    <row r="43" spans="1:56" x14ac:dyDescent="0.2">
      <c r="I43" t="s">
        <v>71</v>
      </c>
      <c r="N43" s="37" t="s">
        <v>106</v>
      </c>
      <c r="O43" s="50">
        <v>243.097150572977</v>
      </c>
      <c r="P43" s="108" t="s">
        <v>106</v>
      </c>
      <c r="Q43" s="51"/>
      <c r="R43" s="2"/>
      <c r="S43" s="2"/>
      <c r="U43" s="92">
        <v>285.6064544167636</v>
      </c>
      <c r="V43" s="109" t="s">
        <v>106</v>
      </c>
      <c r="W43" s="95"/>
      <c r="X43" s="7"/>
      <c r="Y43" s="7"/>
      <c r="AA43" s="92">
        <v>377.34303345831336</v>
      </c>
      <c r="AB43" s="109" t="s">
        <v>106</v>
      </c>
      <c r="AC43" s="95"/>
      <c r="AD43" s="7"/>
      <c r="AE43" s="7"/>
      <c r="AG43" s="92">
        <v>318.1565184162618</v>
      </c>
      <c r="AH43" s="108" t="s">
        <v>106</v>
      </c>
      <c r="AI43" s="95"/>
      <c r="AJ43" s="7"/>
      <c r="AK43" s="7"/>
      <c r="AM43" s="92">
        <v>646.76895650655695</v>
      </c>
      <c r="AN43" s="108" t="s">
        <v>106</v>
      </c>
      <c r="AO43" s="94"/>
      <c r="AP43" s="7"/>
      <c r="AQ43" s="7"/>
      <c r="AR43" s="72"/>
      <c r="AS43" s="92">
        <v>1280.152828532016</v>
      </c>
      <c r="AT43" s="109" t="s">
        <v>106</v>
      </c>
      <c r="AU43" s="94"/>
      <c r="AV43" s="7"/>
      <c r="AW43" s="7"/>
      <c r="AX43" s="72"/>
      <c r="AY43" s="92">
        <v>1280.152828532016</v>
      </c>
      <c r="AZ43" s="109" t="s">
        <v>106</v>
      </c>
      <c r="BA43" s="94"/>
      <c r="BB43" s="7"/>
      <c r="BC43" s="7"/>
      <c r="BD43" s="72"/>
    </row>
    <row r="44" spans="1:56" x14ac:dyDescent="0.2">
      <c r="M44">
        <v>11.741800000000001</v>
      </c>
      <c r="N44" s="51" t="s">
        <v>51</v>
      </c>
      <c r="O44" s="50">
        <f>O43/11.7418</f>
        <v>20.703567644907682</v>
      </c>
      <c r="P44" s="2"/>
      <c r="Q44" s="51" t="s">
        <v>51</v>
      </c>
      <c r="R44" s="53">
        <v>362.05235867528802</v>
      </c>
      <c r="S44" s="27"/>
      <c r="U44" s="92">
        <f>U43/12.0386</f>
        <v>23.724224944492182</v>
      </c>
      <c r="V44" s="7"/>
      <c r="W44" s="95" t="s">
        <v>51</v>
      </c>
      <c r="X44" s="21">
        <v>490.42999378050018</v>
      </c>
      <c r="Y44" s="97"/>
      <c r="AA44" s="92">
        <f>AA43/12.0614</f>
        <v>31.285176966049821</v>
      </c>
      <c r="AB44" s="7"/>
      <c r="AC44" s="95" t="s">
        <v>51</v>
      </c>
      <c r="AD44" s="21">
        <v>481.10342048532311</v>
      </c>
      <c r="AE44" s="97"/>
      <c r="AG44" s="92">
        <f>AG43/11.9436</f>
        <v>26.638242943188136</v>
      </c>
      <c r="AH44" s="7"/>
      <c r="AI44" s="95" t="s">
        <v>51</v>
      </c>
      <c r="AJ44" s="21">
        <v>490.42999378050018</v>
      </c>
      <c r="AK44" s="97"/>
      <c r="AM44" s="92">
        <f>AM43/11.9376</f>
        <v>54.179144594102411</v>
      </c>
      <c r="AN44" s="7"/>
      <c r="AO44" s="95" t="s">
        <v>51</v>
      </c>
      <c r="AP44" s="21">
        <v>962.26053429230217</v>
      </c>
      <c r="AQ44" s="97"/>
      <c r="AR44" s="72"/>
      <c r="AS44" s="92">
        <f>AS43/12.0806</f>
        <v>105.96765297518468</v>
      </c>
      <c r="AT44" s="7"/>
      <c r="AU44" s="95" t="s">
        <v>51</v>
      </c>
      <c r="AV44" s="21">
        <v>2086.909731047147</v>
      </c>
      <c r="AW44" s="97"/>
      <c r="AX44" s="72"/>
      <c r="AY44" s="92">
        <f>AY43/12.0806</f>
        <v>105.96765297518468</v>
      </c>
      <c r="AZ44" s="7"/>
      <c r="BA44" s="95" t="s">
        <v>51</v>
      </c>
      <c r="BB44" s="21">
        <v>2086.909731047147</v>
      </c>
      <c r="BC44" s="97"/>
      <c r="BD44" s="72"/>
    </row>
    <row r="45" spans="1:56" x14ac:dyDescent="0.2">
      <c r="N45" s="51" t="s">
        <v>52</v>
      </c>
      <c r="O45" s="54">
        <v>4.8479999999999999</v>
      </c>
      <c r="P45" s="27"/>
      <c r="Q45" s="51" t="s">
        <v>52</v>
      </c>
      <c r="R45" s="55">
        <v>13.991884334494666</v>
      </c>
      <c r="S45" s="27"/>
      <c r="U45" s="98">
        <v>7.0049999999999999</v>
      </c>
      <c r="V45" s="97"/>
      <c r="W45" s="95" t="s">
        <v>52</v>
      </c>
      <c r="X45" s="99">
        <v>20.636606873290102</v>
      </c>
      <c r="Y45" s="97"/>
      <c r="AA45" s="98">
        <v>9.3829999999999991</v>
      </c>
      <c r="AB45" s="97"/>
      <c r="AC45" s="95" t="s">
        <v>52</v>
      </c>
      <c r="AD45" s="99">
        <v>18.298545524721312</v>
      </c>
      <c r="AE45" s="97"/>
      <c r="AG45" s="98">
        <v>9.3919999999999995</v>
      </c>
      <c r="AH45" s="97"/>
      <c r="AI45" s="95" t="s">
        <v>52</v>
      </c>
      <c r="AJ45" s="99">
        <v>20.636606873290102</v>
      </c>
      <c r="AK45" s="97"/>
      <c r="AM45" s="98">
        <v>16.233000000000001</v>
      </c>
      <c r="AN45" s="97"/>
      <c r="AO45" s="95" t="s">
        <v>52</v>
      </c>
      <c r="AP45" s="99">
        <v>25.539838774309349</v>
      </c>
      <c r="AQ45" s="97"/>
      <c r="AR45" s="72"/>
      <c r="AS45" s="98">
        <v>23.609000000000002</v>
      </c>
      <c r="AT45" s="97"/>
      <c r="AU45" s="95" t="s">
        <v>52</v>
      </c>
      <c r="AV45" s="99">
        <v>39.997589636154693</v>
      </c>
      <c r="AW45" s="97"/>
      <c r="AX45" s="72"/>
      <c r="AY45" s="98">
        <v>34.063200000000002</v>
      </c>
      <c r="AZ45" s="97"/>
      <c r="BA45" s="95" t="s">
        <v>52</v>
      </c>
      <c r="BB45" s="99">
        <v>39.997589636154693</v>
      </c>
      <c r="BC45" s="97"/>
      <c r="BD45" s="72"/>
    </row>
    <row r="46" spans="1:56" x14ac:dyDescent="0.2">
      <c r="N46" s="56" t="s">
        <v>53</v>
      </c>
      <c r="O46" s="56">
        <f>O44/O45</f>
        <v>4.2705378805502647</v>
      </c>
      <c r="P46" s="2"/>
      <c r="Q46" s="56" t="s">
        <v>53</v>
      </c>
      <c r="R46" s="53">
        <f>R44/R45</f>
        <v>25.875882763174943</v>
      </c>
      <c r="S46" s="57">
        <f>O46/R46</f>
        <v>0.16503931168786432</v>
      </c>
      <c r="U46" s="56">
        <f>U44/U45</f>
        <v>3.3867558807269353</v>
      </c>
      <c r="V46" s="7"/>
      <c r="W46" s="56" t="s">
        <v>53</v>
      </c>
      <c r="X46" s="21">
        <f>X44/X45</f>
        <v>23.765049980927934</v>
      </c>
      <c r="Y46" s="100">
        <f>U46/X46</f>
        <v>0.14250994142427195</v>
      </c>
      <c r="AA46" s="56">
        <f>AA44/AA45</f>
        <v>3.3342403246349592</v>
      </c>
      <c r="AB46" s="7"/>
      <c r="AC46" s="56" t="s">
        <v>53</v>
      </c>
      <c r="AD46" s="21">
        <f>AD44/AD45</f>
        <v>26.291894065315354</v>
      </c>
      <c r="AE46" s="100">
        <f>AA46/AD46</f>
        <v>0.12681628475878948</v>
      </c>
      <c r="AG46" s="56">
        <f>AG44/AG45</f>
        <v>2.8362694786188389</v>
      </c>
      <c r="AH46" s="7"/>
      <c r="AI46" s="56" t="s">
        <v>53</v>
      </c>
      <c r="AJ46" s="21">
        <f>AJ44/AJ45</f>
        <v>23.765049980927934</v>
      </c>
      <c r="AK46" s="100">
        <f>AG46/AJ46</f>
        <v>0.11934624504871727</v>
      </c>
      <c r="AM46" s="56">
        <f>AM44/AM45</f>
        <v>3.3375928413788216</v>
      </c>
      <c r="AN46" s="7"/>
      <c r="AO46" s="56" t="s">
        <v>53</v>
      </c>
      <c r="AP46" s="21">
        <f>AP44/AP45</f>
        <v>37.676844509302263</v>
      </c>
      <c r="AQ46" s="100">
        <f>AM46/AP46</f>
        <v>8.8584723186008407E-2</v>
      </c>
      <c r="AR46" s="72"/>
      <c r="AS46" s="56">
        <f>AS44/AS45</f>
        <v>4.4884430926843439</v>
      </c>
      <c r="AT46" s="7"/>
      <c r="AU46" s="56" t="s">
        <v>53</v>
      </c>
      <c r="AV46" s="21">
        <f>AV44/AV45</f>
        <v>52.175887347990184</v>
      </c>
      <c r="AW46" s="100">
        <f>AS46/AV46</f>
        <v>8.6025237342843938E-2</v>
      </c>
      <c r="AX46" s="72"/>
      <c r="AY46" s="56">
        <f>AY44/AY45</f>
        <v>3.1109130373888734</v>
      </c>
      <c r="AZ46" s="7"/>
      <c r="BA46" s="56" t="s">
        <v>53</v>
      </c>
      <c r="BB46" s="21">
        <f>BB44/BB45</f>
        <v>52.175887347990184</v>
      </c>
      <c r="BC46" s="100">
        <f>AY46/BB46</f>
        <v>5.9623577010592149E-2</v>
      </c>
      <c r="BD46" s="72"/>
    </row>
    <row r="47" spans="1:56" x14ac:dyDescent="0.2">
      <c r="N47" s="56" t="s">
        <v>54</v>
      </c>
      <c r="O47" s="58">
        <f>O46/P42</f>
        <v>3.7615673547852033</v>
      </c>
      <c r="P47" s="2"/>
      <c r="Q47" s="56" t="s">
        <v>54</v>
      </c>
      <c r="R47" s="59">
        <f>R46/R42</f>
        <v>8.5981652023260295</v>
      </c>
      <c r="S47" s="57">
        <f>O47/R47</f>
        <v>0.43748488965617927</v>
      </c>
      <c r="U47" s="58">
        <f>U46/V42</f>
        <v>5.0471919653749664</v>
      </c>
      <c r="V47" s="7"/>
      <c r="W47" s="56" t="s">
        <v>54</v>
      </c>
      <c r="X47" s="59">
        <f>X46/X42</f>
        <v>11.129591754580741</v>
      </c>
      <c r="Y47" s="100">
        <f>U47/X47</f>
        <v>0.45349300106157375</v>
      </c>
      <c r="AA47" s="58">
        <f>AA46/AB42</f>
        <v>3.4298290264949278</v>
      </c>
      <c r="AB47" s="7"/>
      <c r="AC47" s="56" t="s">
        <v>54</v>
      </c>
      <c r="AD47" s="59">
        <f>AD46/AD42</f>
        <v>9.7818053069990825</v>
      </c>
      <c r="AE47" s="100">
        <f>AA47/AD47</f>
        <v>0.35063354042027545</v>
      </c>
      <c r="AG47" s="58">
        <f>AG46/AH42</f>
        <v>2.4347527979278838</v>
      </c>
      <c r="AH47" s="7"/>
      <c r="AI47" s="56" t="s">
        <v>54</v>
      </c>
      <c r="AJ47" s="59">
        <f>AJ46/AJ42</f>
        <v>10.906258643631505</v>
      </c>
      <c r="AK47" s="100">
        <f>AG47/AJ47</f>
        <v>0.22324363262277938</v>
      </c>
      <c r="AM47" s="58">
        <f>AM46/AN42</f>
        <v>2.2963685182001314</v>
      </c>
      <c r="AN47" s="7"/>
      <c r="AO47" s="56" t="s">
        <v>54</v>
      </c>
      <c r="AP47" s="59">
        <f>AP46/AP42</f>
        <v>12.787948013452608</v>
      </c>
      <c r="AQ47" s="100">
        <f>AM47/AP47</f>
        <v>0.17957286937547823</v>
      </c>
      <c r="AR47" s="72"/>
      <c r="AS47" s="58">
        <f>AS46/AT42</f>
        <v>3.1861897734993319</v>
      </c>
      <c r="AT47" s="7"/>
      <c r="AU47" s="56" t="s">
        <v>54</v>
      </c>
      <c r="AV47" s="59">
        <f>AV46/AV42</f>
        <v>25.133777560173165</v>
      </c>
      <c r="AW47" s="100">
        <f>AS47/AV47</f>
        <v>0.12676923577728122</v>
      </c>
      <c r="AX47" s="72"/>
      <c r="AY47" s="58">
        <f>AY46/AZ42</f>
        <v>2.2083290578262091</v>
      </c>
      <c r="AZ47" s="7"/>
      <c r="BA47" s="56" t="s">
        <v>54</v>
      </c>
      <c r="BB47" s="59">
        <f>BB46/BB42</f>
        <v>26.122153970614114</v>
      </c>
      <c r="BC47" s="100">
        <f>AY47/BB47</f>
        <v>8.4538551465183506E-2</v>
      </c>
      <c r="BD47" s="72"/>
    </row>
    <row r="48" spans="1:56" x14ac:dyDescent="0.2">
      <c r="O48" s="112" t="s">
        <v>153</v>
      </c>
      <c r="S48" s="75" t="s">
        <v>73</v>
      </c>
      <c r="U48" s="112" t="s">
        <v>153</v>
      </c>
      <c r="V48" s="72"/>
      <c r="W48" s="72"/>
      <c r="X48" s="72"/>
      <c r="Y48" s="101" t="s">
        <v>73</v>
      </c>
      <c r="AA48" s="72"/>
      <c r="AB48" s="72"/>
      <c r="AC48" s="72"/>
      <c r="AD48" s="72"/>
      <c r="AE48" s="101" t="s">
        <v>73</v>
      </c>
      <c r="AG48" s="72"/>
      <c r="AH48" s="72"/>
      <c r="AI48" s="72"/>
      <c r="AJ48" s="72"/>
      <c r="AK48" s="101" t="s">
        <v>73</v>
      </c>
      <c r="AM48" s="72"/>
      <c r="AN48" s="72"/>
      <c r="AO48" s="72"/>
      <c r="AP48" s="72"/>
      <c r="AQ48" s="101" t="s">
        <v>73</v>
      </c>
      <c r="AR48" s="72"/>
      <c r="AS48" s="72"/>
      <c r="AT48" s="72"/>
      <c r="AU48" s="72"/>
      <c r="AV48" s="72"/>
      <c r="AW48" s="101" t="s">
        <v>73</v>
      </c>
      <c r="AX48" s="72"/>
      <c r="AY48" s="72"/>
      <c r="AZ48" s="72"/>
      <c r="BA48" s="72"/>
      <c r="BB48" s="72"/>
      <c r="BC48" s="101" t="s">
        <v>73</v>
      </c>
      <c r="BD48" s="72"/>
    </row>
    <row r="49" spans="15:56" x14ac:dyDescent="0.2">
      <c r="O49" s="105" t="s">
        <v>154</v>
      </c>
      <c r="S49" s="75" t="s">
        <v>74</v>
      </c>
      <c r="U49" s="111" t="s">
        <v>125</v>
      </c>
      <c r="V49" s="72"/>
      <c r="W49" s="72"/>
      <c r="X49" s="72"/>
      <c r="Y49" s="101" t="s">
        <v>130</v>
      </c>
      <c r="AA49" s="72"/>
      <c r="AB49" s="72"/>
      <c r="AC49" s="72"/>
      <c r="AD49" s="72"/>
      <c r="AE49" s="101" t="s">
        <v>130</v>
      </c>
      <c r="AG49" s="72"/>
      <c r="AH49" s="72"/>
      <c r="AI49" s="72"/>
      <c r="AJ49" s="72"/>
      <c r="AK49" s="101" t="s">
        <v>130</v>
      </c>
      <c r="AQ49" s="101" t="s">
        <v>130</v>
      </c>
      <c r="AS49" s="72"/>
      <c r="AT49" s="72"/>
      <c r="AU49" s="72"/>
      <c r="AV49" s="72"/>
      <c r="AW49" s="101" t="s">
        <v>130</v>
      </c>
      <c r="AX49" s="72"/>
      <c r="BC49" s="101" t="s">
        <v>130</v>
      </c>
    </row>
    <row r="50" spans="15:56" x14ac:dyDescent="0.2">
      <c r="O50" s="105" t="s">
        <v>123</v>
      </c>
      <c r="S50" s="76">
        <v>0.26145998326902697</v>
      </c>
      <c r="U50" s="111" t="s">
        <v>126</v>
      </c>
      <c r="V50" s="72"/>
      <c r="W50" s="72"/>
      <c r="X50" s="72"/>
      <c r="Y50" s="103">
        <v>0.23904913162743663</v>
      </c>
      <c r="AA50" s="72"/>
      <c r="AB50" s="72"/>
      <c r="AC50" s="72"/>
      <c r="AD50" s="72"/>
      <c r="AE50" s="103">
        <v>0.22579034596663336</v>
      </c>
      <c r="AG50" s="72"/>
      <c r="AH50" s="72"/>
      <c r="AI50" s="72"/>
      <c r="AJ50" s="72"/>
      <c r="AK50" s="103">
        <v>0.18584127882320764</v>
      </c>
      <c r="AQ50" s="74">
        <v>0.16217437721017383</v>
      </c>
      <c r="AS50" s="72"/>
      <c r="AT50" s="72"/>
      <c r="AU50" s="72"/>
      <c r="AV50" s="72"/>
      <c r="AW50" s="110">
        <v>0.172043</v>
      </c>
      <c r="AX50" s="111" t="s">
        <v>136</v>
      </c>
      <c r="BC50" s="74">
        <v>0.1731567661186135</v>
      </c>
      <c r="BD50" s="105" t="s">
        <v>136</v>
      </c>
    </row>
    <row r="51" spans="15:56" x14ac:dyDescent="0.2">
      <c r="O51" s="105" t="s">
        <v>124</v>
      </c>
      <c r="AA51" s="72"/>
      <c r="AB51" s="72"/>
      <c r="AC51" s="72"/>
      <c r="AD51" s="72"/>
      <c r="AG51" s="72"/>
      <c r="AH51" s="72"/>
      <c r="AI51" s="72"/>
      <c r="AJ51" s="72"/>
      <c r="AK51" s="72"/>
      <c r="AS51" s="72"/>
      <c r="AT51" s="72"/>
      <c r="AU51" s="72"/>
      <c r="AV51" s="72"/>
      <c r="AW51" s="110">
        <f>AW50*(546/664.906)</f>
        <v>0.1412763277816714</v>
      </c>
      <c r="AX51" s="111" t="s">
        <v>134</v>
      </c>
      <c r="BC51" s="74">
        <f>BC50*(546/664.906)</f>
        <v>0.14219091766469694</v>
      </c>
      <c r="BD51" s="105" t="s">
        <v>134</v>
      </c>
    </row>
    <row r="52" spans="15:56" x14ac:dyDescent="0.2">
      <c r="AG52" s="72"/>
      <c r="AH52" s="72"/>
      <c r="AI52" s="72"/>
      <c r="AJ52" s="72"/>
      <c r="AK52" s="72"/>
      <c r="AS52" s="72"/>
      <c r="AT52" s="72"/>
      <c r="AU52" s="72"/>
      <c r="AV52" s="72"/>
      <c r="AW52" s="72"/>
      <c r="AX52" s="111" t="s">
        <v>135</v>
      </c>
      <c r="BD52" s="105" t="s">
        <v>135</v>
      </c>
    </row>
    <row r="53" spans="15:56" x14ac:dyDescent="0.2">
      <c r="O53" t="s">
        <v>137</v>
      </c>
      <c r="Q53" t="s">
        <v>79</v>
      </c>
      <c r="AO53" s="90" t="s">
        <v>117</v>
      </c>
      <c r="AP53" s="87" t="s">
        <v>86</v>
      </c>
      <c r="AQ53" s="87" t="s">
        <v>86</v>
      </c>
      <c r="AR53" s="85" t="s">
        <v>160</v>
      </c>
      <c r="AS53" s="87" t="s">
        <v>86</v>
      </c>
      <c r="AT53" s="87" t="s">
        <v>86</v>
      </c>
      <c r="AU53" s="87" t="s">
        <v>86</v>
      </c>
      <c r="AV53" s="88"/>
      <c r="AW53" s="88"/>
      <c r="AX53" s="88"/>
      <c r="AY53" s="88"/>
      <c r="AZ53" s="88"/>
      <c r="BA53" s="88"/>
      <c r="BB53" s="88"/>
      <c r="BC53" s="88"/>
      <c r="BD53" s="88"/>
    </row>
    <row r="54" spans="15:56" x14ac:dyDescent="0.2">
      <c r="O54" t="s">
        <v>77</v>
      </c>
      <c r="P54" t="s">
        <v>78</v>
      </c>
      <c r="Q54" t="s">
        <v>80</v>
      </c>
      <c r="AM54" t="s">
        <v>77</v>
      </c>
      <c r="AN54" t="s">
        <v>78</v>
      </c>
      <c r="AO54" t="s">
        <v>81</v>
      </c>
      <c r="AP54" s="85" t="s">
        <v>77</v>
      </c>
      <c r="AQ54" s="85" t="s">
        <v>78</v>
      </c>
      <c r="AR54" s="85" t="s">
        <v>160</v>
      </c>
      <c r="AS54" t="s">
        <v>83</v>
      </c>
      <c r="AT54" t="s">
        <v>84</v>
      </c>
      <c r="AU54" s="85" t="s">
        <v>85</v>
      </c>
      <c r="AV54" s="88"/>
      <c r="AW54" s="88"/>
      <c r="AX54" s="88"/>
      <c r="AY54" s="88"/>
      <c r="AZ54" s="88"/>
      <c r="BA54" s="88"/>
      <c r="BB54" s="88"/>
      <c r="BC54" s="88"/>
      <c r="BD54" s="88"/>
    </row>
    <row r="55" spans="15:56" x14ac:dyDescent="0.2">
      <c r="O55">
        <v>1818</v>
      </c>
      <c r="P55">
        <v>1822</v>
      </c>
      <c r="Q55">
        <v>11.741800000000001</v>
      </c>
      <c r="AM55">
        <v>1818</v>
      </c>
      <c r="AN55">
        <v>1822</v>
      </c>
      <c r="AO55" s="79">
        <v>243.097150572977</v>
      </c>
      <c r="AP55">
        <v>1818</v>
      </c>
      <c r="AQ55">
        <v>1822</v>
      </c>
      <c r="AR55" s="85" t="s">
        <v>160</v>
      </c>
      <c r="AS55" s="84">
        <v>362.05235867528802</v>
      </c>
      <c r="AT55" s="84">
        <v>25.920389705855523</v>
      </c>
      <c r="AU55" s="84">
        <v>13.967859387295357</v>
      </c>
      <c r="AV55" s="88"/>
      <c r="AW55" s="88"/>
      <c r="AX55" s="88"/>
      <c r="AY55" s="88"/>
      <c r="AZ55" s="88"/>
      <c r="BA55" s="88"/>
      <c r="BB55" s="88"/>
      <c r="BC55" s="88"/>
      <c r="BD55" s="88"/>
    </row>
    <row r="56" spans="15:56" x14ac:dyDescent="0.2">
      <c r="O56">
        <v>1828</v>
      </c>
      <c r="P56">
        <v>1832</v>
      </c>
      <c r="Q56">
        <v>12.038599999999999</v>
      </c>
      <c r="AM56">
        <v>1828</v>
      </c>
      <c r="AN56">
        <v>1832</v>
      </c>
      <c r="AO56" s="79">
        <v>285.6064544167636</v>
      </c>
      <c r="AP56">
        <v>1828</v>
      </c>
      <c r="AQ56">
        <v>1832</v>
      </c>
      <c r="AR56" s="85" t="s">
        <v>160</v>
      </c>
      <c r="AS56" s="84">
        <v>386.37381410277516</v>
      </c>
      <c r="AT56" s="84">
        <v>23.927198289541963</v>
      </c>
      <c r="AU56" s="84">
        <v>16.147892010894164</v>
      </c>
      <c r="AV56" s="88"/>
      <c r="AW56" s="88"/>
      <c r="AX56" s="88"/>
      <c r="AY56" s="88"/>
      <c r="AZ56" s="88"/>
      <c r="BA56" s="88"/>
      <c r="BB56" s="88"/>
      <c r="BC56" s="88"/>
      <c r="BD56" s="88"/>
    </row>
    <row r="57" spans="15:56" x14ac:dyDescent="0.2">
      <c r="O57">
        <v>1838</v>
      </c>
      <c r="P57">
        <v>1842</v>
      </c>
      <c r="Q57">
        <v>12.061400000000001</v>
      </c>
      <c r="AM57">
        <v>1838</v>
      </c>
      <c r="AN57">
        <v>1842</v>
      </c>
      <c r="AO57" s="79">
        <v>377.34303345831336</v>
      </c>
      <c r="AP57">
        <v>1838</v>
      </c>
      <c r="AQ57">
        <v>1842</v>
      </c>
      <c r="AR57" s="85" t="s">
        <v>160</v>
      </c>
      <c r="AS57" s="84">
        <v>481.10342048532311</v>
      </c>
      <c r="AT57" s="84">
        <v>26.291894065315354</v>
      </c>
      <c r="AU57" s="84">
        <v>18.298545524721312</v>
      </c>
      <c r="BD57" t="s">
        <v>93</v>
      </c>
    </row>
    <row r="58" spans="15:56" x14ac:dyDescent="0.2">
      <c r="O58">
        <v>1848</v>
      </c>
      <c r="P58">
        <v>1852</v>
      </c>
      <c r="Q58">
        <v>11.943600000000002</v>
      </c>
      <c r="AM58">
        <v>1848</v>
      </c>
      <c r="AN58">
        <v>1852</v>
      </c>
      <c r="AO58" s="79">
        <v>318.1565184162618</v>
      </c>
      <c r="AP58">
        <v>1848</v>
      </c>
      <c r="AQ58">
        <v>1852</v>
      </c>
      <c r="AR58" s="85" t="s">
        <v>160</v>
      </c>
      <c r="AS58" s="84">
        <v>490.42999378050018</v>
      </c>
      <c r="AT58" s="84">
        <v>23.765049980927934</v>
      </c>
      <c r="AU58" s="84">
        <v>20.636606873290102</v>
      </c>
      <c r="AV58" s="85" t="s">
        <v>88</v>
      </c>
      <c r="AW58" s="85"/>
      <c r="AY58" t="s">
        <v>95</v>
      </c>
      <c r="BD58" t="s">
        <v>94</v>
      </c>
    </row>
    <row r="59" spans="15:56" x14ac:dyDescent="0.2">
      <c r="O59">
        <v>1858</v>
      </c>
      <c r="P59">
        <v>1862</v>
      </c>
      <c r="Q59">
        <v>11.747400000000001</v>
      </c>
      <c r="AM59">
        <v>1858</v>
      </c>
      <c r="AN59">
        <v>1862</v>
      </c>
      <c r="AO59" s="79">
        <v>497.02846833860912</v>
      </c>
      <c r="AP59">
        <v>1858</v>
      </c>
      <c r="AQ59">
        <v>1862</v>
      </c>
      <c r="AR59" s="85" t="s">
        <v>160</v>
      </c>
      <c r="AS59" s="84">
        <v>677.90541105852242</v>
      </c>
      <c r="AT59" s="84">
        <v>29.50205818867294</v>
      </c>
      <c r="AU59" s="84">
        <v>22.978241271275042</v>
      </c>
      <c r="AV59" s="85" t="s">
        <v>87</v>
      </c>
      <c r="AW59" s="85"/>
      <c r="AY59" s="85" t="s">
        <v>89</v>
      </c>
      <c r="AZ59" s="85" t="s">
        <v>90</v>
      </c>
      <c r="BA59" s="85" t="s">
        <v>91</v>
      </c>
      <c r="BB59" s="85" t="s">
        <v>86</v>
      </c>
      <c r="BC59" s="85" t="s">
        <v>92</v>
      </c>
      <c r="BD59" s="85" t="s">
        <v>92</v>
      </c>
    </row>
    <row r="60" spans="15:56" x14ac:dyDescent="0.2">
      <c r="O60">
        <v>1868</v>
      </c>
      <c r="P60">
        <v>1872</v>
      </c>
      <c r="Q60">
        <v>11.9376</v>
      </c>
      <c r="AM60">
        <v>1868</v>
      </c>
      <c r="AN60">
        <v>1872</v>
      </c>
      <c r="AO60" s="79">
        <v>646.76895650655695</v>
      </c>
      <c r="AP60">
        <v>1868</v>
      </c>
      <c r="AQ60">
        <v>1872</v>
      </c>
      <c r="AR60" s="85" t="s">
        <v>160</v>
      </c>
      <c r="AS60" s="84">
        <v>962.26053429230217</v>
      </c>
      <c r="AT60" s="84">
        <v>37.676844509302263</v>
      </c>
      <c r="AU60" s="84">
        <v>25.539838774309349</v>
      </c>
      <c r="AV60" s="28">
        <v>1063.7414766260647</v>
      </c>
      <c r="AW60" s="28"/>
      <c r="AX60">
        <v>1871</v>
      </c>
      <c r="AY60">
        <v>22.712</v>
      </c>
      <c r="AZ60" s="73">
        <v>3.36</v>
      </c>
      <c r="BA60">
        <v>5.4119999999999999</v>
      </c>
      <c r="BB60" s="73">
        <f>AY60+AZ60</f>
        <v>26.071999999999999</v>
      </c>
      <c r="BC60" s="73">
        <f>BB60+BA60</f>
        <v>31.483999999999998</v>
      </c>
      <c r="BD60" s="84">
        <f>AV60/BC60</f>
        <v>33.786732201310656</v>
      </c>
    </row>
    <row r="61" spans="15:56" x14ac:dyDescent="0.2">
      <c r="O61">
        <v>1878</v>
      </c>
      <c r="P61">
        <v>1882</v>
      </c>
      <c r="Q61">
        <v>12.089400000000001</v>
      </c>
      <c r="AM61">
        <v>1878</v>
      </c>
      <c r="AN61">
        <v>1882</v>
      </c>
      <c r="AO61" s="104">
        <v>864.56954203968542</v>
      </c>
      <c r="AP61">
        <v>1878</v>
      </c>
      <c r="AQ61">
        <v>1882</v>
      </c>
      <c r="AR61" s="85" t="s">
        <v>160</v>
      </c>
      <c r="AS61" s="86">
        <f>AU61*AT61</f>
        <v>1110.8503268919058</v>
      </c>
      <c r="AT61" s="86">
        <f>BD61*(AT60/BD60)</f>
        <v>38.168851431900876</v>
      </c>
      <c r="AU61" s="84">
        <f>BB61*(AU$60/BB$60)</f>
        <v>29.10358277020293</v>
      </c>
      <c r="AV61" s="28">
        <v>1194.0416762591101</v>
      </c>
      <c r="AW61" s="28"/>
      <c r="AX61">
        <v>1881</v>
      </c>
      <c r="AY61">
        <v>25.974</v>
      </c>
      <c r="AZ61">
        <v>3.7360000000000002</v>
      </c>
      <c r="BA61">
        <v>5.1749999999999998</v>
      </c>
      <c r="BB61" s="73">
        <f t="shared" ref="BB61:BB64" si="3">AY61+AZ61</f>
        <v>29.71</v>
      </c>
      <c r="BC61" s="73">
        <f t="shared" ref="BC61:BC64" si="4">BB61+BA61</f>
        <v>34.884999999999998</v>
      </c>
      <c r="BD61" s="84">
        <f>AV61/BC61</f>
        <v>34.227939694972342</v>
      </c>
    </row>
    <row r="62" spans="15:56" x14ac:dyDescent="0.2">
      <c r="O62">
        <v>1888</v>
      </c>
      <c r="P62">
        <v>1892</v>
      </c>
      <c r="Q62">
        <v>12.0838</v>
      </c>
      <c r="AM62">
        <v>1888</v>
      </c>
      <c r="AN62">
        <v>1892</v>
      </c>
      <c r="AO62" s="79">
        <v>725.70129143492522</v>
      </c>
      <c r="AP62">
        <v>1888</v>
      </c>
      <c r="AQ62">
        <v>1892</v>
      </c>
      <c r="AR62" s="85" t="s">
        <v>160</v>
      </c>
      <c r="AS62" s="86">
        <f t="shared" ref="AS62:AS64" si="5">AU62*AT62</f>
        <v>1322.5920694361682</v>
      </c>
      <c r="AT62" s="86">
        <f>BD62*(AT61/BD61)</f>
        <v>40.877721956890355</v>
      </c>
      <c r="AU62" s="84">
        <f>BB62*(AU$60/BB$60)</f>
        <v>32.35483794402667</v>
      </c>
      <c r="AV62" s="28">
        <v>1383.219800490378</v>
      </c>
      <c r="AW62" s="28"/>
      <c r="AX62">
        <v>1891</v>
      </c>
      <c r="AY62">
        <v>29.003</v>
      </c>
      <c r="AZ62">
        <v>4.0259999999999998</v>
      </c>
      <c r="BA62">
        <v>4.7050000000000001</v>
      </c>
      <c r="BB62" s="73">
        <f t="shared" si="3"/>
        <v>33.028999999999996</v>
      </c>
      <c r="BC62" s="73">
        <f t="shared" si="4"/>
        <v>37.733999999999995</v>
      </c>
      <c r="BD62" s="84">
        <f>AV62/BC62</f>
        <v>36.657120911919705</v>
      </c>
    </row>
    <row r="63" spans="15:56" x14ac:dyDescent="0.2">
      <c r="O63">
        <v>1898</v>
      </c>
      <c r="P63">
        <v>1902</v>
      </c>
      <c r="Q63">
        <v>12.094599999999998</v>
      </c>
      <c r="AM63">
        <v>1898</v>
      </c>
      <c r="AN63">
        <v>1902</v>
      </c>
      <c r="AO63" s="79">
        <v>839.82374807806377</v>
      </c>
      <c r="AP63">
        <v>1898</v>
      </c>
      <c r="AQ63">
        <v>1902</v>
      </c>
      <c r="AR63" s="85" t="s">
        <v>160</v>
      </c>
      <c r="AS63" s="86">
        <f t="shared" si="5"/>
        <v>1764.007570163019</v>
      </c>
      <c r="AT63" s="86">
        <f>BD63*(AT62/BD62)</f>
        <v>48.669279454171928</v>
      </c>
      <c r="AU63" s="84">
        <f>BB63*(AU$60/BB$60)</f>
        <v>36.244785004964939</v>
      </c>
      <c r="AV63" s="28">
        <v>1809.4450795044781</v>
      </c>
      <c r="AW63" s="28"/>
      <c r="AX63">
        <v>1901</v>
      </c>
      <c r="AY63">
        <v>32.527999999999999</v>
      </c>
      <c r="AZ63">
        <v>4.4720000000000004</v>
      </c>
      <c r="BA63">
        <v>4.4589999999999996</v>
      </c>
      <c r="BB63" s="73">
        <f t="shared" si="3"/>
        <v>37</v>
      </c>
      <c r="BC63" s="73">
        <f t="shared" si="4"/>
        <v>41.459000000000003</v>
      </c>
      <c r="BD63" s="84">
        <f>AV63/BC63</f>
        <v>43.644204623953257</v>
      </c>
    </row>
    <row r="64" spans="15:56" x14ac:dyDescent="0.2">
      <c r="O64">
        <v>1908</v>
      </c>
      <c r="P64">
        <v>1912</v>
      </c>
      <c r="Q64">
        <v>12.0806</v>
      </c>
      <c r="AM64">
        <v>1908</v>
      </c>
      <c r="AN64">
        <v>1912</v>
      </c>
      <c r="AO64" s="79">
        <v>1280.152828532016</v>
      </c>
      <c r="AP64">
        <v>1908</v>
      </c>
      <c r="AQ64">
        <v>1912</v>
      </c>
      <c r="AR64" s="85" t="s">
        <v>160</v>
      </c>
      <c r="AS64" s="86">
        <f t="shared" si="5"/>
        <v>2086.909731047147</v>
      </c>
      <c r="AT64" s="86">
        <f>BD64*(AT63/BD63)</f>
        <v>52.175887347990184</v>
      </c>
      <c r="AU64" s="84">
        <f>BB64*(AU$60/BB$60)</f>
        <v>39.997589636154693</v>
      </c>
      <c r="AV64" s="28">
        <v>2115.83439340327</v>
      </c>
      <c r="AW64" s="28"/>
      <c r="AX64">
        <v>1911</v>
      </c>
      <c r="AY64" s="73">
        <v>36.07</v>
      </c>
      <c r="AZ64">
        <v>4.7610000000000001</v>
      </c>
      <c r="BA64" s="73">
        <v>4.3899999999999997</v>
      </c>
      <c r="BB64" s="73">
        <f t="shared" si="3"/>
        <v>40.831000000000003</v>
      </c>
      <c r="BC64" s="73">
        <f t="shared" si="4"/>
        <v>45.221000000000004</v>
      </c>
      <c r="BD64" s="84">
        <f>AV64/BC64</f>
        <v>46.788757289827068</v>
      </c>
    </row>
    <row r="65" spans="39:46" x14ac:dyDescent="0.2">
      <c r="AT65" t="s">
        <v>96</v>
      </c>
    </row>
    <row r="66" spans="39:46" x14ac:dyDescent="0.2">
      <c r="AM66" t="s">
        <v>128</v>
      </c>
      <c r="AT66" t="s">
        <v>97</v>
      </c>
    </row>
    <row r="67" spans="39:46" x14ac:dyDescent="0.2">
      <c r="AM67" t="s">
        <v>127</v>
      </c>
      <c r="AT67" t="s">
        <v>98</v>
      </c>
    </row>
    <row r="68" spans="39:46" x14ac:dyDescent="0.2">
      <c r="AM68">
        <v>0.82110000000000005</v>
      </c>
      <c r="AT68" t="s">
        <v>99</v>
      </c>
    </row>
    <row r="69" spans="39:46" x14ac:dyDescent="0.2">
      <c r="AM69" t="s">
        <v>129</v>
      </c>
      <c r="AT69"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Sources and notes</vt:lpstr>
      <vt:lpstr>Java vs. Britain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2016-09-08T20:08:30Z</dcterms:created>
  <dcterms:modified xsi:type="dcterms:W3CDTF">2016-12-03T04:08:04Z</dcterms:modified>
</cp:coreProperties>
</file>